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192.168.30.1\Publica\Oficina Juridica\GOBIERNO EN LÍNEA - DIRECCIÓN JURIDICA\2021\"/>
    </mc:Choice>
  </mc:AlternateContent>
  <xr:revisionPtr revIDLastSave="0" documentId="13_ncr:1_{39E7E792-423B-425D-9D07-D6606605AD4F}" xr6:coauthVersionLast="47" xr6:coauthVersionMax="47" xr10:uidLastSave="{00000000-0000-0000-0000-000000000000}"/>
  <bookViews>
    <workbookView xWindow="1905" yWindow="1905" windowWidth="18375" windowHeight="12900" xr2:uid="{00000000-000D-0000-FFFF-FFFF00000000}"/>
  </bookViews>
  <sheets>
    <sheet name="CUARTO TRIMESTRE 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3" i="1" l="1"/>
  <c r="L93" i="1"/>
  <c r="K93" i="1"/>
  <c r="K84" i="1"/>
  <c r="J85" i="1"/>
  <c r="J84" i="1"/>
  <c r="I84" i="1"/>
  <c r="L84" i="1" s="1"/>
  <c r="M84" i="1" s="1"/>
  <c r="L81" i="1"/>
  <c r="M81" i="1" s="1"/>
  <c r="K81" i="1"/>
  <c r="J83" i="1"/>
  <c r="K83" i="1" s="1"/>
  <c r="J82" i="1"/>
  <c r="K82" i="1" s="1"/>
  <c r="J81" i="1"/>
  <c r="L80" i="1"/>
  <c r="M80" i="1" s="1"/>
  <c r="L79" i="1"/>
  <c r="J80" i="1"/>
  <c r="K80" i="1" s="1"/>
  <c r="J79" i="1"/>
  <c r="K79" i="1" s="1"/>
  <c r="J78" i="1"/>
  <c r="K78" i="1" s="1"/>
  <c r="L77" i="1"/>
  <c r="M77" i="1" s="1"/>
  <c r="J77" i="1"/>
  <c r="K77" i="1" s="1"/>
  <c r="L76" i="1"/>
  <c r="M76" i="1" s="1"/>
  <c r="K76" i="1"/>
  <c r="J76" i="1"/>
  <c r="L75" i="1"/>
  <c r="J75" i="1"/>
  <c r="K75" i="1" s="1"/>
  <c r="L74" i="1"/>
  <c r="M74" i="1" s="1"/>
  <c r="K74" i="1"/>
  <c r="J74" i="1"/>
  <c r="L73" i="1"/>
  <c r="J73" i="1"/>
  <c r="K73" i="1" s="1"/>
  <c r="L72" i="1"/>
  <c r="M72" i="1" s="1"/>
  <c r="K72" i="1"/>
  <c r="L71" i="1"/>
  <c r="M71" i="1" s="1"/>
  <c r="K71" i="1"/>
  <c r="L70" i="1"/>
  <c r="J70" i="1"/>
  <c r="K70" i="1" s="1"/>
  <c r="L68" i="1"/>
  <c r="M68" i="1" s="1"/>
  <c r="K68" i="1"/>
  <c r="L67" i="1"/>
  <c r="J67" i="1"/>
  <c r="K67" i="1" s="1"/>
  <c r="J66" i="1"/>
  <c r="K66" i="1" s="1"/>
  <c r="L66" i="1"/>
  <c r="M66" i="1" s="1"/>
  <c r="L65" i="1"/>
  <c r="M65" i="1" s="1"/>
  <c r="J65" i="1"/>
  <c r="K65" i="1" s="1"/>
  <c r="L64" i="1"/>
  <c r="K64" i="1"/>
  <c r="J63" i="1"/>
  <c r="M62" i="1"/>
  <c r="L62" i="1"/>
  <c r="K62" i="1"/>
  <c r="L61" i="1"/>
  <c r="J61" i="1"/>
  <c r="J60" i="1"/>
  <c r="L59" i="1"/>
  <c r="K59" i="1"/>
  <c r="I59" i="1"/>
  <c r="J59" i="1"/>
  <c r="M59" i="1" s="1"/>
  <c r="J58" i="1"/>
  <c r="K58" i="1" s="1"/>
  <c r="L57" i="1"/>
  <c r="K57" i="1"/>
  <c r="J57" i="1"/>
  <c r="M57" i="1" s="1"/>
  <c r="J56" i="1"/>
  <c r="K56" i="1" s="1"/>
  <c r="J55" i="1"/>
  <c r="J53" i="1"/>
  <c r="K53" i="1" s="1"/>
  <c r="J52" i="1"/>
  <c r="K52" i="1" s="1"/>
  <c r="J51" i="1"/>
  <c r="K51" i="1" s="1"/>
  <c r="J50" i="1"/>
  <c r="K50" i="1" s="1"/>
  <c r="J49" i="1"/>
  <c r="K49" i="1" s="1"/>
  <c r="J48" i="1"/>
  <c r="K48" i="1" s="1"/>
  <c r="J46" i="1"/>
  <c r="K46" i="1" s="1"/>
  <c r="J42" i="1"/>
  <c r="J41" i="1"/>
  <c r="M40" i="1"/>
  <c r="L40" i="1"/>
  <c r="K40" i="1"/>
  <c r="L39" i="1"/>
  <c r="M39" i="1" s="1"/>
  <c r="J39" i="1"/>
  <c r="K39" i="1"/>
  <c r="J38" i="1"/>
  <c r="L37" i="1"/>
  <c r="M37" i="1" s="1"/>
  <c r="J37" i="1"/>
  <c r="K37" i="1" s="1"/>
  <c r="J36" i="1"/>
  <c r="K36" i="1" s="1"/>
  <c r="H35" i="1"/>
  <c r="J35" i="1"/>
  <c r="L35" i="1" s="1"/>
  <c r="L34" i="1"/>
  <c r="K34" i="1"/>
  <c r="J34" i="1"/>
  <c r="M34" i="1" s="1"/>
  <c r="J33" i="1"/>
  <c r="L32" i="1"/>
  <c r="M32" i="1" s="1"/>
  <c r="K32" i="1"/>
  <c r="J32" i="1"/>
  <c r="K30" i="1"/>
  <c r="J30" i="1"/>
  <c r="L30" i="1" s="1"/>
  <c r="M30" i="1" s="1"/>
  <c r="M35" i="1" l="1"/>
  <c r="M67" i="1"/>
  <c r="M73" i="1"/>
  <c r="M75" i="1"/>
  <c r="L78" i="1"/>
  <c r="M78" i="1" s="1"/>
  <c r="L82" i="1"/>
  <c r="M82" i="1" s="1"/>
  <c r="K85" i="1"/>
  <c r="L83" i="1"/>
  <c r="L85" i="1"/>
  <c r="M85" i="1" s="1"/>
  <c r="L33" i="1"/>
  <c r="M33" i="1" s="1"/>
  <c r="K41" i="1"/>
  <c r="L49" i="1"/>
  <c r="L56" i="1"/>
  <c r="M56" i="1" s="1"/>
  <c r="M58" i="1"/>
  <c r="L60" i="1"/>
  <c r="M60" i="1" s="1"/>
  <c r="K63" i="1"/>
  <c r="M83" i="1"/>
  <c r="K33" i="1"/>
  <c r="L58" i="1"/>
  <c r="K60" i="1"/>
  <c r="L41" i="1"/>
  <c r="M41" i="1" s="1"/>
  <c r="M49" i="1"/>
  <c r="L63" i="1"/>
  <c r="M63" i="1" s="1"/>
  <c r="L36" i="1"/>
  <c r="M36" i="1" s="1"/>
  <c r="M70" i="1"/>
  <c r="M79" i="1"/>
  <c r="K35" i="1"/>
  <c r="M29" i="1"/>
  <c r="L29" i="1"/>
  <c r="K29" i="1"/>
  <c r="J29" i="1"/>
  <c r="M31" i="1"/>
  <c r="K31" i="1"/>
  <c r="J31" i="1"/>
  <c r="L31" i="1" s="1"/>
  <c r="J28" i="1"/>
  <c r="K28" i="1" s="1"/>
  <c r="J27" i="1"/>
  <c r="J26" i="1"/>
  <c r="L26" i="1" s="1"/>
  <c r="I26" i="1"/>
  <c r="J25" i="1"/>
  <c r="K25" i="1" s="1"/>
  <c r="J24" i="1"/>
  <c r="L24" i="1" s="1"/>
  <c r="J23" i="1"/>
  <c r="K23" i="1" s="1"/>
  <c r="J21" i="1"/>
  <c r="K21" i="1" s="1"/>
  <c r="J20" i="1"/>
  <c r="K20" i="1" s="1"/>
  <c r="J19" i="1"/>
  <c r="J18" i="1"/>
  <c r="K18" i="1" s="1"/>
  <c r="J16" i="1"/>
  <c r="K16" i="1" s="1"/>
  <c r="J14" i="1"/>
  <c r="K14" i="1" s="1"/>
  <c r="J13" i="1"/>
  <c r="K13" i="1" s="1"/>
  <c r="J12" i="1"/>
  <c r="K12" i="1" s="1"/>
  <c r="J11" i="1"/>
  <c r="K11" i="1" s="1"/>
  <c r="J10" i="1"/>
  <c r="J9" i="1"/>
  <c r="K9" i="1" s="1"/>
  <c r="J8" i="1"/>
  <c r="K8" i="1" s="1"/>
  <c r="J7" i="1"/>
  <c r="K7" i="1" s="1"/>
  <c r="J3" i="1"/>
  <c r="L3" i="1" s="1"/>
  <c r="K4" i="1"/>
  <c r="J4" i="1"/>
  <c r="L46" i="1"/>
  <c r="M46" i="1" s="1"/>
  <c r="K26" i="1" l="1"/>
  <c r="M20" i="1"/>
  <c r="M26" i="1"/>
  <c r="L23" i="1"/>
  <c r="M23" i="1" s="1"/>
  <c r="L20" i="1"/>
  <c r="K3" i="1"/>
  <c r="M64" i="1"/>
  <c r="M61" i="1"/>
  <c r="K61" i="1"/>
  <c r="L55" i="1"/>
  <c r="L52" i="1"/>
  <c r="M52" i="1" s="1"/>
  <c r="L50" i="1"/>
  <c r="L48" i="1"/>
  <c r="J47" i="1"/>
  <c r="K47" i="1" s="1"/>
  <c r="J45" i="1"/>
  <c r="K45" i="1" s="1"/>
  <c r="L44" i="1"/>
  <c r="M44" i="1" s="1"/>
  <c r="L43" i="1"/>
  <c r="M43" i="1" s="1"/>
  <c r="L42" i="1"/>
  <c r="M42" i="1" s="1"/>
  <c r="K44" i="1"/>
  <c r="K43" i="1"/>
  <c r="K42" i="1"/>
  <c r="L38" i="1"/>
  <c r="M38" i="1" s="1"/>
  <c r="L28" i="1"/>
  <c r="M28" i="1" s="1"/>
  <c r="L27" i="1"/>
  <c r="M27" i="1" s="1"/>
  <c r="L25" i="1"/>
  <c r="M25" i="1" s="1"/>
  <c r="M24" i="1"/>
  <c r="M22" i="1"/>
  <c r="K19" i="1"/>
  <c r="K17" i="1"/>
  <c r="K15" i="1"/>
  <c r="M50" i="1" l="1"/>
  <c r="M55" i="1"/>
  <c r="K38" i="1"/>
  <c r="L47" i="1"/>
  <c r="M47" i="1" s="1"/>
  <c r="L51" i="1"/>
  <c r="M51" i="1" s="1"/>
  <c r="L45" i="1"/>
  <c r="M45" i="1" s="1"/>
  <c r="L53" i="1"/>
  <c r="M53" i="1" s="1"/>
  <c r="M48" i="1"/>
  <c r="K55" i="1"/>
  <c r="K27" i="1"/>
  <c r="L15" i="1"/>
  <c r="L21" i="1" l="1"/>
  <c r="M21" i="1" s="1"/>
  <c r="L19" i="1" l="1"/>
  <c r="M19" i="1" s="1"/>
  <c r="L18" i="1"/>
  <c r="M18" i="1" s="1"/>
  <c r="L17" i="1" l="1"/>
  <c r="M17" i="1" s="1"/>
  <c r="L16" i="1"/>
  <c r="M16" i="1" s="1"/>
  <c r="L14" i="1"/>
  <c r="M14" i="1" s="1"/>
  <c r="L13" i="1"/>
  <c r="M13" i="1" s="1"/>
  <c r="L12" i="1"/>
  <c r="M12" i="1" s="1"/>
  <c r="L11" i="1"/>
  <c r="M11" i="1" s="1"/>
  <c r="L10" i="1"/>
  <c r="M10" i="1" s="1"/>
  <c r="K10" i="1"/>
  <c r="L9" i="1"/>
  <c r="M9" i="1" s="1"/>
  <c r="L8" i="1"/>
  <c r="M8" i="1" s="1"/>
  <c r="L7" i="1"/>
  <c r="M7" i="1" s="1"/>
  <c r="J6" i="1"/>
  <c r="L6" i="1" s="1"/>
  <c r="L5" i="1"/>
  <c r="M5" i="1" s="1"/>
  <c r="L4" i="1"/>
  <c r="M4" i="1" s="1"/>
  <c r="J2" i="1"/>
  <c r="L2" i="1" s="1"/>
  <c r="M2" i="1" l="1"/>
  <c r="M6" i="1"/>
  <c r="M3" i="1"/>
  <c r="K6" i="1"/>
  <c r="K5" i="1"/>
  <c r="K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tc={B15154FD-BC54-43FD-BE9D-7F024470F6CC}</author>
    <author>tc={0D8974F0-AD8E-4861-9DD9-0C0DFF5678AF}</author>
    <author>tc={0C6ABC57-1F40-478A-93B0-3AAB0B6E4C81}</author>
    <author>tc={507FE11F-4D6C-4E8C-B609-2662E0770F50}</author>
    <author>tc={47CA406C-06F5-4265-841D-3CC877887C4D}</author>
    <author>tc={9E161F49-C4B5-47BB-90DD-5756A340CE8F}</author>
    <author>tc={ABFE1DEC-1B78-4000-8A77-8BD49A55DB97}</author>
    <author>tc={85ACA56F-6B9E-4E1E-A9DF-CDF3F78E9AC0}</author>
    <author>tc={36D3FB8D-6B35-48E9-B07F-17DCD36FEE44}</author>
    <author>tc={B9CBE406-5B33-45C9-B9D3-551A3114D022}</author>
    <author>tc={D3435B45-F063-49BD-A93C-858559A851DE}</author>
    <author>tc={7B263C66-59E0-4C1E-96D3-77973DDAF67D}</author>
    <author>tc={93C4B23B-9D23-4DB9-A66B-A135619CDB09}</author>
    <author>tc={323FB75A-0E34-4719-9EE2-A2BE2F0C2A7B}</author>
    <author>tc={2C540CE9-6E8C-4B5F-846C-2C70BD6AC26D}</author>
    <author>tc={924FE7DB-EBFF-474F-BF51-5BC39F8410AF}</author>
    <author>tc={20933778-C92C-4819-852B-F436244CDB56}</author>
    <author>tc={06C0E513-8A18-4875-B4E3-28965A9B2F39}</author>
    <author>tc={90EF2054-9DDB-4D31-B198-DEA7C2050FED}</author>
    <author>tc={3FA8014F-5DD0-400B-A0C5-1A67368E4BA4}</author>
    <author>tc={B89FBBAB-C1D2-4CFA-9C7E-CA8B1DA806CD}</author>
    <author>tc={8DF6D35A-23A9-40A3-8994-5EC810952979}</author>
    <author>tc={5C1B1787-4748-4F27-84EB-E3679EC6B00C}</author>
    <author>tc={8556742A-B63E-4CC7-BFA6-8E3DFB20AB52}</author>
    <author>tc={F9D2F909-9CAC-423F-ABD9-6470A0C3DE8C}</author>
    <author>tc={B7313102-4011-42CE-813E-D8F2B0CA2A5E}</author>
    <author>tc={1D14C256-9E47-46D2-AFA5-AD4DE4CDEA74}</author>
    <author>tc={D6D100EB-5938-4586-A6FC-E225C954682C}</author>
    <author>tc={2634D4DD-5A86-4F76-A346-1256C1C0B7FB}</author>
  </authors>
  <commentList>
    <comment ref="J19" authorId="0" shapeId="0" xr:uid="{B15154FD-BC54-43FD-BE9D-7F024470F6C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$1.661.702.671 por concepto de ANTICIPO</t>
      </text>
    </comment>
    <comment ref="I26" authorId="1" shapeId="0" xr:uid="{0D8974F0-AD8E-4861-9DD9-0C0DFF5678AF}">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N°1 en valor: $283.822.200</t>
      </text>
    </comment>
    <comment ref="J28" authorId="2" shapeId="0" xr:uid="{0C6ABC57-1F40-478A-93B0-3AAB0B6E4C8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$599.058.366 por concepto de ANTICIPO</t>
      </text>
    </comment>
    <comment ref="I29" authorId="3" shapeId="0" xr:uid="{507FE11F-4D6C-4E8C-B609-2662E0770F50}">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valor y tiempo: $104.447.348 - 15 días (desde el 11/08/2021 hasta el 25/08/2021)</t>
      </text>
    </comment>
    <comment ref="I31" authorId="4" shapeId="0" xr:uid="{47CA406C-06F5-4265-841D-3CC877887C4D}">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N°1 en valor y tiempo: $31.781.100 - 1 mes (desde el  12/07/2021 hasta el 11/08/2021)</t>
      </text>
    </comment>
    <comment ref="J33" authorId="5" shapeId="0" xr:uid="{9E161F49-C4B5-47BB-90DD-5756A340CE8F}">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$431.693.755 por concepto de ANTICIPO</t>
      </text>
    </comment>
    <comment ref="I34" authorId="6" shapeId="0" xr:uid="{ABFE1DEC-1B78-4000-8A77-8BD49A55DB97}">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N°1 en valor y tiempo: $21.571.194 - 31 diás: Desde el  26/10/2021 hasta el 25/11/2021</t>
      </text>
    </comment>
    <comment ref="J39" authorId="7" shapeId="0" xr:uid="{85ACA56F-6B9E-4E1E-A9DF-CDF3F78E9AC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$421.564.517 por concepto de ANTICIPO del 30%</t>
      </text>
    </comment>
    <comment ref="I41" authorId="8" shapeId="0" xr:uid="{36D3FB8D-6B35-48E9-B07F-17DCD36FEE44}">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valor: Se diciona la suma de $1.172.391.995</t>
      </text>
    </comment>
    <comment ref="J41" authorId="9" shapeId="0" xr:uid="{B9CBE406-5B33-45C9-B9D3-551A3114D02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$3.957.061.887 por concepto de ANTICIPO</t>
      </text>
    </comment>
    <comment ref="J42" authorId="10" shapeId="0" xr:uid="{D3435B45-F063-49BD-A93C-858559A851D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$3.957.061.887 por concepto de ANTICIPO</t>
      </text>
    </comment>
    <comment ref="J55" authorId="11" shapeId="0" xr:uid="{7B263C66-59E0-4C1E-96D3-77973DDAF67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$1.216.422.991 por concepto de ANTICIPO</t>
      </text>
    </comment>
    <comment ref="I59" authorId="12" shapeId="0" xr:uid="{93C4B23B-9D23-4DB9-A66B-A135619CDB09}">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valor $29.012.200</t>
      </text>
    </comment>
    <comment ref="J60" authorId="13" shapeId="0" xr:uid="{323FB75A-0E34-4719-9EE2-A2BE2F0C2A7B}">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$2.120.337.436 por concepto de ANTICIPO</t>
      </text>
    </comment>
    <comment ref="G68" authorId="14" shapeId="0" xr:uid="{2C540CE9-6E8C-4B5F-846C-2C70BD6AC26D}">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tiempo: 15 días calendario (Del 11/02/2022 al 25/02/2022)</t>
      </text>
    </comment>
    <comment ref="J72" authorId="15" shapeId="0" xr:uid="{924FE7DB-EBFF-474F-BF51-5BC39F8410AF}">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$17.494.000 
por concepto de ANTICIPO</t>
      </text>
    </comment>
    <comment ref="G75" authorId="16" shapeId="0" xr:uid="{20933778-C92C-4819-852B-F436244CDB56}">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en N° 1 en tiempo: 2 meses (desde el 01/01/2022 hasta el 28/02/2022)</t>
      </text>
    </comment>
    <comment ref="G76" authorId="17" shapeId="0" xr:uid="{06C0E513-8A18-4875-B4E3-28965A9B2F39}">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tiempo: 45 días calendario. Desde el 01/01/2022 hasta el 14/02/2022.
Respuesta:
    Adición N° 2 en tiempo: 2 meses. Desde el 15/02/2022 hasta el 14/02/2022</t>
      </text>
    </comment>
    <comment ref="G84" authorId="18" shapeId="0" xr:uid="{90EF2054-9DDB-4D31-B198-DEA7C2050FED}">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tiempo: 20 días calendario (desde el 02/03/2022 hasta el 21/03/2022)</t>
      </text>
    </comment>
    <comment ref="H84" authorId="19" shapeId="0" xr:uid="{3FA8014F-5DD0-400B-A0C5-1A67368E4BA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desembolso pago por Anticipo de $140.280.446</t>
      </text>
    </comment>
    <comment ref="I84" authorId="20" shapeId="0" xr:uid="{B89FBBAB-C1D2-4CFA-9C7E-CA8B1DA806CD}">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2 en valor: $167.591.154
Respuesta:
    Adición N° 3 en valor y tiempo: $8.757.396 - 9 días (228/03/2022 hasta 31/03/2022)</t>
      </text>
    </comment>
    <comment ref="I85" authorId="21" shapeId="0" xr:uid="{8DF6D35A-23A9-40A3-8994-5EC810952979}">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valor y tiempo: $11.447.800 - 15 días (01/04/2022 hasta 15/04/2022)</t>
      </text>
    </comment>
    <comment ref="J86" authorId="22" shapeId="0" xr:uid="{5C1B1787-4748-4F27-84EB-E3679EC6B00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$183.157.775 por concepto de ANTICIPO</t>
      </text>
    </comment>
    <comment ref="J87" authorId="23" shapeId="0" xr:uid="{8556742A-B63E-4CC7-BFA6-8E3DFB20AB5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$3.397.529.419 por concepto de ANTICIPO</t>
      </text>
    </comment>
    <comment ref="J89" authorId="24" shapeId="0" xr:uid="{F9D2F909-9CAC-423F-ABD9-6470A0C3DE8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el valor de $171.722.495 por concepto de ANTICIPO</t>
      </text>
    </comment>
    <comment ref="J90" authorId="25" shapeId="0" xr:uid="{B7313102-4011-42CE-813E-D8F2B0CA2A5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el valor de $248.064.782 por concepto de ANTICIPO</t>
      </text>
    </comment>
    <comment ref="J91" authorId="26" shapeId="0" xr:uid="{1D14C256-9E47-46D2-AFA5-AD4DE4CDEA7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por concepto de pago anticipado la suma de $1.138.863.209.</t>
      </text>
    </comment>
    <comment ref="J92" authorId="27" shapeId="0" xr:uid="{D6D100EB-5938-4586-A6FC-E225C954682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$225.719.999,68 por concepto de ANTICIPO</t>
      </text>
    </comment>
    <comment ref="G93" authorId="28" shapeId="0" xr:uid="{2634D4DD-5A86-4F76-A346-1256C1C0B7FB}">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tiempo: 2 meses (29/03/2022 hasta 28/05/2022)</t>
      </text>
    </comment>
  </commentList>
</comments>
</file>

<file path=xl/sharedStrings.xml><?xml version="1.0" encoding="utf-8"?>
<sst xmlns="http://schemas.openxmlformats.org/spreadsheetml/2006/main" count="532" uniqueCount="442">
  <si>
    <t xml:space="preserve">Contrato </t>
  </si>
  <si>
    <t>Objeto</t>
  </si>
  <si>
    <t>NIT</t>
  </si>
  <si>
    <t>Contratista</t>
  </si>
  <si>
    <t>Fecha 
Inicio</t>
  </si>
  <si>
    <t>Supervisor</t>
  </si>
  <si>
    <t xml:space="preserve">Fecha
 Term </t>
  </si>
  <si>
    <t>Valor
Inicial</t>
  </si>
  <si>
    <t>Adición</t>
  </si>
  <si>
    <t>Vlr 
Ejecutado</t>
  </si>
  <si>
    <t>Vlr 
pendiente por ejecutar</t>
  </si>
  <si>
    <t>% Ejecucion Presupuestal</t>
  </si>
  <si>
    <t>OSCAR DAVID PIEDRAHITA CARDONA</t>
  </si>
  <si>
    <t>DIANA ARBOLEDA</t>
  </si>
  <si>
    <t>LOURDES FDA. MUÑOZ AGUIRRE</t>
  </si>
  <si>
    <t>PRESTACIÓN DE SERVICIOS DE APOYO A LA GESTIÓN COMO MENSAJERO PARA DAR CONTINUIDAD A LA GESTIÓN SOCIO–PREDIAL Y A LA ADQUISICIÓN DE INMUEBLES Y/O MEJORAS REQUERIDOS PARA LA CONSTRUCCIÓN DEL PROYECTO “INTERCAMBIO VIAL DE LA AYURÁ ENTRE LOS MUNICIPIOS DE ENVIGADO E ITAGÜÍ”, ASÍ COMO AQUELLOS NECESARIOS PARA LA CONSTRUCCIÓN DEL PROYECTO “INTERCAMBIO VIAL INDUAMÉRICA DE LA CARRERA 50ª CON CALLE 36 Y 37B DEL MUNICIPIO DE ITAGÜÍ</t>
  </si>
  <si>
    <t>CLAUDIA MARYORI ZAPATA TABORDA</t>
  </si>
  <si>
    <t>901.360.032-8</t>
  </si>
  <si>
    <t>901.144.915-0</t>
  </si>
  <si>
    <t>CODWEB S.A.S</t>
  </si>
  <si>
    <t>LUZ ANGELA RUIZ NOREÑA</t>
  </si>
  <si>
    <t>PRESTACIÓN DE SERVICIOS PROFESIONALES PARA BRINDAR ACOMPAÑAMIENTO Y APOYO JURÍDICO A LAS DIFERENTES ÁREAS DE LA AGENCIA DE DESARROLLO LOCAL DE ITAGUI- ADELI</t>
  </si>
  <si>
    <t xml:space="preserve">MAURICIO ALEXANDER BLANDON VILLEGAS </t>
  </si>
  <si>
    <t>ANA MARIA GONZALEZ QUINTERO</t>
  </si>
  <si>
    <t>Publicaciòn</t>
  </si>
  <si>
    <t>Estado de Avance</t>
  </si>
  <si>
    <t>PRESTACION DE SERVICIOS PROFESIONALES PARA ASESORAR Y BRINDAR ACOMPAÑAMIENTO EN LA EJECUCIÓN DE LAS ACTIVIDADES DEL SISTEMA DE CONTROL INTERNO DE LA AGENCIA DE DESARROLLO LOCAL DE ITAGÜÍ - ADELI</t>
  </si>
  <si>
    <t>001-2021</t>
  </si>
  <si>
    <t xml:space="preserve">PRESTACIÓN DE SERVICIOS PROFESIONALES COMO CONTADOR PÚBLICO DE LA AGENCIA DE DESARROLLO LOCAL DE ITAGUI- ADELI. </t>
  </si>
  <si>
    <t>002-2021</t>
  </si>
  <si>
    <t xml:space="preserve">PRESTACIÓN DE SERVICIOS PROFESIONALES DE CONSTRUCTOR CIVIL ESPECIALISTA, COMO APOYO A LAS ACTIVIDADES DE LA DIRECCIÓN OPERATIVA Y DE PROYECTOS DE ADELI Y ACOMPAÑAMIENTO EN LAS DEMÁS ACTIVIDADES MISIONALES DE LA AGENCIA. </t>
  </si>
  <si>
    <t>003-2021</t>
  </si>
  <si>
    <t>004-2021</t>
  </si>
  <si>
    <t>CARLOS ADOLFO MUÑOZ LONDOÑO</t>
  </si>
  <si>
    <t>JOHANA MARTINEZ PARRA</t>
  </si>
  <si>
    <t>005-2021</t>
  </si>
  <si>
    <t>PRESTACIÓN DE SERVICIOS PROFESIONALES COMO COMUNICADOR PARA FORTALECER LOS PROYECTOS DE LA EMPRESA INDUSTRIAL Y COMERCIAL DEL ESTADO -  ADELI EN TODO  LO  RELACIONADO  CON  LAS  COMUNICACIONES  Y  MEDIOS</t>
  </si>
  <si>
    <t>SEBASTIÁN ZULUAGA ARIAS</t>
  </si>
  <si>
    <t>006-2021</t>
  </si>
  <si>
    <t>PRESTACIÓN DE SERVICIOS PROFESIONALES PARA LA ASESORÍA, SOPORTE Y MANTENIMIENTO DEL SITIO WEB INSTITUCIONAL, DEL SISGED Y LOS CORREOS ELECTRÓNICOS INSTITUCIONALES, ASÍ COMO LA ADMINISTRACIÓN DEL SERVIDOR DE LA AGENCIA DE DESARROLLO LOCAL DE ITAGÜI</t>
  </si>
  <si>
    <t>ISSYS ZAPATA MUÑOZ</t>
  </si>
  <si>
    <t>007-2021</t>
  </si>
  <si>
    <t>PRESTACIÓN DE SERVICIOS PROFESIONALES COMO ADMINISTRADOR EN SALUD OCUPACIONAL, PARA CONTINUAR CON EL ACOMPAÑAMIENTO, IMPLEMENTACIÓN, EJECUCIÓN, ACTUALIZACIÓN Y DOCUMENTACIÓN DEL SISTEMA DE GESTION DE SEGURIDAD Y SALUD EN EL TRABAJO (SG-SST) EN LA AGENCIA DE DESARROLLO LOCAL DE ITAGÜÍ – ADELI</t>
  </si>
  <si>
    <t>ERICA VIVIANA BEDOYA VILLADA</t>
  </si>
  <si>
    <t>008-2021</t>
  </si>
  <si>
    <t>PRESTACIÓN DE SERVICIOS DE APOYO INSTITUCIONAL EN EL AVANCE DE LA IMPLEMENTACIÓN DE LAS POLÍTICAS DE GOBIERNO DIGITAL, ASÍ COMO LA ASESORÍA, CAPACITACION Y AUDITORIA EN GESTIÓN DOCUMENTAL DE LA AGENCIA DE DESARROLLO LOCAL DE ITAGÜÍ.</t>
  </si>
  <si>
    <t>009-2021</t>
  </si>
  <si>
    <t>SELECCIÓN DE CONSULTOR PARA LA ELABORACION DE ESTUDIOS Y DISEÑOS REQUERIDOS PARA CUBIERTAS EN PLACAS DEPORTIVAS, ASI COMO UNA CUBIERTA PARA LAPLACA DEPORTIVAY EL BLOQUE ALEDAÑO DE LA INSTITUCION EDIUCATIVA SIMON BOLIVARDEL MUNICIPIO DE ITAGÜÍ</t>
  </si>
  <si>
    <t>901.452.804-2</t>
  </si>
  <si>
    <t>ANA MARIA GONZALEZ</t>
  </si>
  <si>
    <t>010-2021</t>
  </si>
  <si>
    <t>PRESTACIÓN DE SERVICIOS PROFESIONALES EN L APOYO CONTABLE Y FINANCIERO EN LA GESTIÓN SOCIO–PREDIAL Y A LA ADQUISICIÓN DE INMUEBLES Y/O MEJORAS REQUERIDOS PARA LA CONSTRUCCIÓN DEL PROYECTO “INTERCAMBIO VIAL DE LA AYURÁ ENTRE LOS MUNICIPIOS DE ENVIGADO E ITAGÜÍ”, ASÍ COMO AQUELLOS NECESARIOS PARA LA CONSTRUCCIÓN DEL PROYECTO “INTERCAMBIO VIAL INDUAMÉRICA DE LA CARRERA 50ª CON CALLE 36 Y 37B DEL MUNICIPIO DE ITAGÜÍ</t>
  </si>
  <si>
    <t>DAVID MEJIA MONTOYA</t>
  </si>
  <si>
    <t>MAURICIO BLANDON</t>
  </si>
  <si>
    <t>011-2021</t>
  </si>
  <si>
    <t>PRESTACIÓN DE SERVICIOS PROFESIONALES COMO ABOGADO COORDINADOR PARA DAR CONTINUIDAD DE LA GESTIÓN SOCIO–PREDIAL Y A LA ADQUISICIÓN DE INMUEBLES Y/O MEJORAS REQUERIDOS PARA LA CONSTRUCCIÓN DEL PROYECTO “INTERCAMBIO VIAL DE LA AYURÁ ENTRE LOS MUNICIPIOS DE ENVIGADO E ITAGÜÍ”, ASÍ COMO AQUELLOS NECESARIOS PARA LA CONSTRUCCIÓN DEL PROYECTO “INTERCAMBIO VIAL INDUAMÉRICA DE LA CARRERA 50ª CON CALLE 36 Y 37B DEL MUNICIPIO DE ITAGÜÍ</t>
  </si>
  <si>
    <t>WILMAN ANTONIO ROJO ZAPATA</t>
  </si>
  <si>
    <t>012-2021</t>
  </si>
  <si>
    <t>JUAN PABLO ANGEL OTALVARO</t>
  </si>
  <si>
    <t>013-2021</t>
  </si>
  <si>
    <t>PRESTACIÓN DE SERVICIOS PROFESIONALES COMO ABOGADA PARA DAR CONTINUIDAD DE LA GESTIÓN SOCIO–PREDIAL Y A LA ADQUISICIÓN DE INMUEBLES Y/O MEJORAS REQUERIDOS PARA LA CONSTRUCCIÓN DEL PROYECTO “INTERCAMBIO VIAL DE LA AYURÁ ENTRE LOS MUNICIPIOS DE ENVIGADO E ITAGÜÍ”, ASÍ COMO AQUELLOS NECESARIOS PARA LA CONSTRUCCIÓN DEL PROYECTO “INTERCAMBIO VIAL INDUAMÉRICA DE LA CARRERA 50ª CON CALLE 36 Y 37B DEL MUNICIPIO DE ITAGÜÍ</t>
  </si>
  <si>
    <t>DIANA SOFIA RESTREPO</t>
  </si>
  <si>
    <t>014-2021</t>
  </si>
  <si>
    <t>SELECCIÓN DE CONSULTOR PARA ADELANTAR LOS ESTUDIOS NECESARIOS DE EVALUACION E IDENTIFICACION DE LAS AMENAZAS NATURALES POR MOVIMIENTOS EN MASA, INUNDACION YAVENIDAS TORRENCIALES PARA LAREVISION DEL EOT DELMUNICIPIO DE MONTEBELLO</t>
  </si>
  <si>
    <t>900.437.183-0</t>
  </si>
  <si>
    <r>
      <t xml:space="preserve">CORPLANES </t>
    </r>
    <r>
      <rPr>
        <sz val="9"/>
        <color rgb="FFFF0000"/>
        <rFont val="Calibri"/>
        <family val="2"/>
        <scheme val="minor"/>
      </rPr>
      <t>(INV.PRIVADA No. 001 - 2021)</t>
    </r>
  </si>
  <si>
    <t>015-2021</t>
  </si>
  <si>
    <t>PRESTACIÓN DE SERVICIOS PROFESIONALES COMO CONTADOR PÚBLICO DE LA AGENCIA DE DESARROLLO LOCAL DE ITAGÜÍ - ADELI</t>
  </si>
  <si>
    <t>JHON FERNANDO ARISMENDY</t>
  </si>
  <si>
    <t>016-2021</t>
  </si>
  <si>
    <t>PRESTACION DE SERVICIOS DE APOYO ALA GESTION EN EL DESARROLLO DE ACTIVIDADES DE GESTION DOCUMENTAL DE LA EMPRESA INDUCTRIAL Y COMERCIAL DEL ESTADO - ADELI</t>
  </si>
  <si>
    <t>MONICA MARIA DAVILA MURIEL</t>
  </si>
  <si>
    <t>017-2021</t>
  </si>
  <si>
    <t>PRESTACION DE SERVICIOS PROFESIONALES DE ABOGADO ESPECILIZADO, COMO APOYO A LAS ACTIVIDADES CONTRACTUALES DE LA OFICINA JURIDICA DE LA EMPRESA INDUSTRIAL Y COMERCIAL DEL ESTADO - ADELI</t>
  </si>
  <si>
    <t>MARIO ARTURO RIOS ZORRILLA</t>
  </si>
  <si>
    <t>018-2021</t>
  </si>
  <si>
    <t>MEJORAMIENTO DEL ENTORNO URBANISTICO DEL CORREDOR METROPOLITANO DOBLE CALZADA CALLE 63 DEL MUNICIPIO DE ITAGUI</t>
  </si>
  <si>
    <t>901.466.165-5</t>
  </si>
  <si>
    <t>019-2021</t>
  </si>
  <si>
    <t>INTERVENTORIA TECNICA, ADMINISTRATIVA, FIANANCIERA, JURIDICA Y AMBIENTAL PARA EL MEJORAMIENTO DEL ENTORNO URBANISTICO DEL CORREDOR METROPOLITANO DOBLE CALZADA CALLE 63, INCLUYE EL PUENTE VEHICULAR ELEVADO SOBRE EL PARQUE DEL ARTISTA Y SUS LAZOS DE CONEXIÓN EN EL MUNICIPIO DE ITAGÜÍ</t>
  </si>
  <si>
    <r>
      <t xml:space="preserve">CONSORCIO SIMON BOLIVAR </t>
    </r>
    <r>
      <rPr>
        <sz val="8"/>
        <color rgb="FFFF0000"/>
        <rFont val="Calibri "/>
      </rPr>
      <t>(INV. PUBLICA No. 001 - 2021)</t>
    </r>
  </si>
  <si>
    <r>
      <t xml:space="preserve">JUAN MANUEL SUAREZ OSORIO </t>
    </r>
    <r>
      <rPr>
        <sz val="9"/>
        <color rgb="FFFF0000"/>
        <rFont val="Calibri"/>
        <family val="2"/>
        <scheme val="minor"/>
      </rPr>
      <t>(INV. PRIVADA No. 002 - 2021)</t>
    </r>
  </si>
  <si>
    <r>
      <t xml:space="preserve">CONCORCIO URBANO ING&amp;PAV </t>
    </r>
    <r>
      <rPr>
        <sz val="9"/>
        <color rgb="FFFF0000"/>
        <rFont val="Calibri"/>
        <family val="2"/>
        <scheme val="minor"/>
      </rPr>
      <t>(INV. PUBLICA No. 002 - 2021)</t>
    </r>
  </si>
  <si>
    <t>https://www.contratos.gov.co/consultas/detalleProceso.do?numConstancia=21-4-1152169</t>
  </si>
  <si>
    <t>https://www.contratos.gov.co/consultas/detalleProceso.do?numConstancia=21-4-11790485</t>
  </si>
  <si>
    <t>https://www.contratos.gov.co/consultas/detalleProceso.do?numConstancia=21-4-11522269</t>
  </si>
  <si>
    <t>https://www.contratos.gov.co/consultas/detalleProceso.do?numConstancia=21-4-11549302</t>
  </si>
  <si>
    <t>https://www.contratos.gov.co/consultas/detalleProceso.do?numConstancia=21-4-11556712</t>
  </si>
  <si>
    <t>https://www.contratos.gov.co/consultas/detalleProceso.do?numConstancia=21-4-11623605</t>
  </si>
  <si>
    <t>https://www.contratos.gov.co/consultas/detalleProceso.do?numConstancia=21-4-11627725</t>
  </si>
  <si>
    <t>https://www.contratos.gov.co/consultas/detalleProceso.do?numConstancia=21-4-11627511</t>
  </si>
  <si>
    <t>https://www.contratos.gov.co/consultas/detalleProceso.do?numConstancia=21-4-11662238</t>
  </si>
  <si>
    <t>https://www.contratos.gov.co/consultas/detalleProceso.do?numConstancia=21-4-11509322</t>
  </si>
  <si>
    <t>https://www.contratos.gov.co/consultas/detalleProceso.do?numConstancia=21-4-11664968</t>
  </si>
  <si>
    <t>https://www.contratos.gov.co/consultas/detalleProceso.do?numConstancia=21-4-11665011</t>
  </si>
  <si>
    <t>https://www.contratos.gov.co/consultas/detalleProceso.do?numConstancia=21-4-11665032</t>
  </si>
  <si>
    <t>https://www.contratos.gov.co/consultas/detalleProceso.do?numConstancia=21-4-11665049</t>
  </si>
  <si>
    <t>https://www.contratos.gov.co/consultas/detalleProceso.do?numConstancia=21-4-11743823</t>
  </si>
  <si>
    <t>https://www.contratos.gov.co/consultas/detalleProceso.do?numConstancia=21-4-11756354</t>
  </si>
  <si>
    <t>https://www.contratos.gov.co/consultas/detalleProceso.do?numConstancia=21-4-11692443</t>
  </si>
  <si>
    <t>https://www.contratos.gov.co/consultas/detalleProceso.do?numConstancia=21-4-11798501</t>
  </si>
  <si>
    <t>https://www.contratos.gov.co/consultas/detalleProceso.do?numConstancia=21-4-11696646</t>
  </si>
  <si>
    <t>020-2021</t>
  </si>
  <si>
    <t>https://www.contratos.gov.co/consultas/detalleProceso.do?numConstancia=21-4-11818330</t>
  </si>
  <si>
    <t>ORDEN DE SERVICIO 001 - 2021</t>
  </si>
  <si>
    <t xml:space="preserve">ADECUACION, RESANEY PINTURA DE LAS INSTALACIONES DE ADELI. </t>
  </si>
  <si>
    <t>LUIS JAVIER RUA</t>
  </si>
  <si>
    <t>ADRIANA ZOBEIDA BUITRAGO</t>
  </si>
  <si>
    <t>021-2021</t>
  </si>
  <si>
    <t>PRESTACION DE SERVICIOS PROFESIONALES EN INGENIERIA CIVIL, PARA BRINDAR APOYO A LA DIRECCION OPERATIVA Y DE PROYECTOS EN LA CORRECTA EJECICION TECNICA, PRESUPUESTAL Y DE SEGUIMIENTO A LOS PROYECTOS DESARROLLADOS EN RAZON A LOS CONTRATOS O CONVENIOS INTERADMINISTRATIVOS QUE CELEBRA LA EMPRESA INDUSTRIAL Y COMERCIAL DEL ESTADO - ADELI.</t>
  </si>
  <si>
    <t>OLGA LUCIA OSPINA VASCO</t>
  </si>
  <si>
    <t>022-2021</t>
  </si>
  <si>
    <t>PRESTACION DE SERVICIOS PROFESIONALES EN COMUNICACIONSOCIALPARA FORTALECER LOS PROYECTOS DE LA EMPRESA INDUSTRIAL Y COMERCIAL DELESTADO - ADELI EN TODO LO RELACIONADO CON COMUNICACIONES Y MEDIOS.</t>
  </si>
  <si>
    <t>ANDRES FELIPE VARGAS RODAS</t>
  </si>
  <si>
    <t>023-2021</t>
  </si>
  <si>
    <t>ADQUISICIÓN DE INSUMOS DE PAPELERÍA, ELEMENTOS DE OFICINA, SERVICIO DE IMPRESIÓN Y COPIADO DE DOCUMENTOS BAJO LA MODALIDAD DE OUTSOSUMINISTRO Y RECARGA DE TÓNER Y REPUESTOS DEL ESCÁNER E IMPRESORA PROPIEDAD DE LA EMPRESA INDUSTRIAL Y COMERCIAL DEL ESTADO ADELI.</t>
  </si>
  <si>
    <t>900.024.793-0</t>
  </si>
  <si>
    <t>COPYPAISA</t>
  </si>
  <si>
    <t>024-2021</t>
  </si>
  <si>
    <t>INSTALACION DE INFRAESTRUCTURA TECNOLOGICA Y PRESTACION INTEGRAL DE SERVICIOS DE INTERNET Y CONECTIVIDAD EN FIBRA ÓPTICA PARA LAS INSTTITUCIONES EDUCATIVAS OFICIALES DEL MUNICIPIO DE ITAGÜÍ - ANTIOQUIA.</t>
  </si>
  <si>
    <t>900.155.215-7</t>
  </si>
  <si>
    <r>
      <t xml:space="preserve">ENERGIZANDO S.A.S </t>
    </r>
    <r>
      <rPr>
        <sz val="9"/>
        <color rgb="FFFF0000"/>
        <rFont val="Calibri"/>
        <family val="2"/>
        <scheme val="minor"/>
      </rPr>
      <t>(INV. PUBLICA No. 003 - 2021)</t>
    </r>
  </si>
  <si>
    <t>025-2021</t>
  </si>
  <si>
    <t>PRESTACION DE SERVICIOS PARA REALIZAR LA AEROFOTOGRAMETRIA DE LA ZONA URBANA Y RURAL DEL MUNICIPIO DE ITAGUÍ</t>
  </si>
  <si>
    <t>900.616.123-7</t>
  </si>
  <si>
    <t>FLY NORTH S.A.S</t>
  </si>
  <si>
    <t>026-2021</t>
  </si>
  <si>
    <t>MEJORAMIENTO Y ADECUACION DEL ESTADIO METROPOLITANO DITAIRES EN EL MUNICIPIO DE ITAGÜÍ</t>
  </si>
  <si>
    <r>
      <t xml:space="preserve">JORGE ALEJANDRO GONZALEZ </t>
    </r>
    <r>
      <rPr>
        <sz val="9"/>
        <color rgb="FFFF0000"/>
        <rFont val="Calibri"/>
        <family val="2"/>
        <scheme val="minor"/>
      </rPr>
      <t>(INV. PUBLICA Nº 004 - 2021)</t>
    </r>
  </si>
  <si>
    <t>027-2021</t>
  </si>
  <si>
    <t>CONSTRUCCIÓN DE UN MURO DE CONTENCIÓN EN CONCRETO REFORZADO EN LA QUEBRADA DONMATIAS SECTOR LUIS LOPEZ DE MESA, PARA LA MITIGACIÓN DEL RIESGO.</t>
  </si>
  <si>
    <t>900.871.788-6</t>
  </si>
  <si>
    <r>
      <t xml:space="preserve">RM CONCRETAR S.A.S </t>
    </r>
    <r>
      <rPr>
        <sz val="9"/>
        <color rgb="FFFF0000"/>
        <rFont val="Calibri"/>
        <family val="2"/>
        <scheme val="minor"/>
      </rPr>
      <t>(INV. PRIVADA N° 003 - 2021)</t>
    </r>
  </si>
  <si>
    <t>028-2021</t>
  </si>
  <si>
    <t>INTERVENTORIA TECNICA, ADMINISTRATIVA, FINANCIERA, JURÍDICA Y AMBIENTAL A LA CONSTRUCCIÓN DE UN MURO DE CONTENCIÓN EN CONCRETO REFORZADO A LA QUEBRADA DONMATIAS SECTOR LUIS LOPEZ DE MESA, PARA LA MITIGACIÓN DEL RIESGO.</t>
  </si>
  <si>
    <t>900.993.736-7</t>
  </si>
  <si>
    <t>INGERKON S.A.S</t>
  </si>
  <si>
    <t>25/08/201</t>
  </si>
  <si>
    <t>029-2021</t>
  </si>
  <si>
    <t>INTERVENTORIA TECNICA, ADMINISTRATIVA, FINANCIERA, JURÍDICA Y AMBIENTAL PARA EL MEJORAMIENTO Y ADECUACIÓN DEL ESTADIO METROPOLITANO DITAIRES DEL MUNICIPIO DE ITAGÜÍ.</t>
  </si>
  <si>
    <t>901.483.984-2</t>
  </si>
  <si>
    <r>
      <t xml:space="preserve">INTERVENTORIA UNION TEMPORAL DITAIRES </t>
    </r>
    <r>
      <rPr>
        <sz val="9"/>
        <color rgb="FFFF0000"/>
        <rFont val="Calibri"/>
        <family val="2"/>
        <scheme val="minor"/>
      </rPr>
      <t>(INV. PRIVADA N° 004 - 2021)</t>
    </r>
  </si>
  <si>
    <t>030-2021</t>
  </si>
  <si>
    <t>PRESTACION DE SERVICIOS PROFESIONALES COMO CONTADOR PUBLICO DE LA AGENCIA DE DESARROLLO LOCAL DE ITAGUI - ADELI</t>
  </si>
  <si>
    <t>JOHANA CRISTINA HERNANDEZ GALLO</t>
  </si>
  <si>
    <t>031-2021</t>
  </si>
  <si>
    <t>MEJORAMIENTO DEL CORREDOR VIAL DE SECTORES RURALES DEL MUNICIPIO DE CUIDAD BOLIVAR – ANTIOQUIA</t>
  </si>
  <si>
    <t>901.025.544 – 1</t>
  </si>
  <si>
    <r>
      <t xml:space="preserve">KHALIFA INGENIERIA Y CONTRUCCIONES S.A.S </t>
    </r>
    <r>
      <rPr>
        <sz val="9"/>
        <color rgb="FFFF0000"/>
        <rFont val="Calibri"/>
        <family val="2"/>
        <scheme val="minor"/>
      </rPr>
      <t>(INV. PUBLICA No. 005 - 2021)</t>
    </r>
  </si>
  <si>
    <t>032-2021</t>
  </si>
  <si>
    <t>INTERVENTORÍA TÉCNICA, ADMINISTRATIVA, FINANCIERA, JURÍDICA Y AMBIENTAL PARA EL MEJORAMIENTO DEL CORREDOR VIAL DE SECTORES RURALES DEL MUNICIPIO DE CIUDAD BOLIVAR – ANTIOQUIA</t>
  </si>
  <si>
    <t>900.307.818 – 1</t>
  </si>
  <si>
    <r>
      <t xml:space="preserve">EQUICONSTRUCCIÓN S.A.S </t>
    </r>
    <r>
      <rPr>
        <sz val="9"/>
        <color rgb="FFFF0000"/>
        <rFont val="Calibri"/>
        <family val="2"/>
        <scheme val="minor"/>
      </rPr>
      <t>(INV. PRIVADA No. 005 - 2021)</t>
    </r>
  </si>
  <si>
    <t>033-2021</t>
  </si>
  <si>
    <t>PRESTACIÓN DE SERVICIOS DE APOYO A LA GESTION BRINDANDO SOPORTE TÉCNICO EN LA ACTIVIDAD JURÍDICA Y ASISTENCIAL PARA LAS DIFERENTES ACTUACIONES CONTRACTUALES (EN TODAS LAS ETAPAS) DE LA DIRECCIÓN JURÍDICA DE LA AGENCIA DE DESARROLLO LOCAL DE ITAGÜÍ - ADELI.</t>
  </si>
  <si>
    <t>PAULA ANDREA TAMAYO QUINTERO</t>
  </si>
  <si>
    <t>034-2021</t>
  </si>
  <si>
    <t xml:space="preserve">PRESTACION DE SERVICIOS DE APOYO A LA GESTION EN EL DESARROLLO DE ACTIVIDADES DE GESTION DOCUMENTAL DE LA EMPRESA INDUCTRIAL Y COMERCIAL DEL ESTADO - ADELI. </t>
  </si>
  <si>
    <t>035-2021</t>
  </si>
  <si>
    <t>PRESTACIÓN DE SERVICIOS DE APOYO A LA GESTIÓN PARA LLEVAR A CABO LAS ACTIVIDADES LOGÍSTICAS, OPERATIVAS Y ORGANIZACIONALES, DE LOS PLANES ESTRATÉGICOS DE TALENTO HUMANO, INSTITUCIONAL DE CAPACITACIÓN, SEGURIDAD Y SALUD EN EL TRABAJO Y ANUAL DE BIENESTAR, ESTÍMULOS E INCENTIVOS 2021, DIRIGIDOS A LOS SERVIDORES PÚBLICOS Y EMPLEADOS OFICIALES DE – ADELI</t>
  </si>
  <si>
    <t>900.716.260-7</t>
  </si>
  <si>
    <t xml:space="preserve">FORMACIÓN Y PROYECTOS S.A.S   </t>
  </si>
  <si>
    <t>https://www.contratos.gov.co/consultas/detalleProceso.do?numConstancia=21-4-11842950</t>
  </si>
  <si>
    <t>https://www.contratos.gov.co/consultas/detalleProceso.do?numConstancia=21-4-11869461</t>
  </si>
  <si>
    <t>https://www.contratos.gov.co/consultas/detalleProceso.do?numConstancia=21-4-11893019</t>
  </si>
  <si>
    <t>https://www.contratos.gov.co/consultas/detalleProceso.do?numConstancia=21-4-11893022</t>
  </si>
  <si>
    <t>https://www.contratos.gov.co/consultas/detalleProceso.do?numConstancia=21-4-11839073</t>
  </si>
  <si>
    <t>https://www.contratos.gov.co/consultas/detalleProceso.do?numConstancia=21-4-11911310</t>
  </si>
  <si>
    <t>https://www.contratos.gov.co/consultas/detalleProceso.do?numConstancia=21-4-11889835</t>
  </si>
  <si>
    <t>https://www.contratos.gov.co/consultas/detalleProceso.do?numConstancia=21-4-11962930</t>
  </si>
  <si>
    <t>https://www.contratos.gov.co/consultas/detalleProceso.do?numConstancia=21-4-11968497</t>
  </si>
  <si>
    <t>https://www.contratos.gov.co/consultas/detalleProceso.do?numConstancia=21-4-11978753</t>
  </si>
  <si>
    <t>https://www.contratos.gov.co/consultas/detalleProceso.do?numConstancia=21-4-1203310</t>
  </si>
  <si>
    <t>https://www.contratos.gov.co/consultas/detalleProceso.do?numConstancia=21-4-12037261</t>
  </si>
  <si>
    <t>https://www.contratos.gov.co/consultas/detalleProceso.do?numConstancia=21-4-11914341</t>
  </si>
  <si>
    <t>https://www.contratos.gov.co/consultas/detalleProceso.do?numConstancia=21-4-12041507</t>
  </si>
  <si>
    <t>https://www.contratos.gov.co/consultas/detalleProceso.do?numConstancia=21-4-12041625</t>
  </si>
  <si>
    <t>https://www.contratos.gov.co/consultas/detalleProceso.do?numConstancia=21-4-12072068</t>
  </si>
  <si>
    <t>036-2021</t>
  </si>
  <si>
    <t>ATENCION PREVENTIVA Y CORRECTIVA Y ADECUACION DE LA RED SEMAFORICA Y CENTRO DE CONTROL, ASI MISMO, DE LAS CÁMARAS DEL CIRCUITO CERRADO DE TELEVISIÓN CCTV DE SEDURIDAD DEL MUNICIPIO DE ITAGÜÍ</t>
  </si>
  <si>
    <r>
      <t xml:space="preserve">ENERGIZANDO S.A.S </t>
    </r>
    <r>
      <rPr>
        <sz val="9"/>
        <color rgb="FFFF0000"/>
        <rFont val="Calibri"/>
        <family val="2"/>
        <scheme val="minor"/>
      </rPr>
      <t>(INV. PRIVADA No. 006 - 2021)</t>
    </r>
  </si>
  <si>
    <t>037 - 2021</t>
  </si>
  <si>
    <t>EJECUCIÓN DE OBRAS EN EL PROYECTO DE MEJORAMIENTO DE VÍAS URBANAS SECTOR ALTO DE LAS RUICES Y EL BOSQUE DEL MUNICIPIO DE MACEO (ANTIOQUIA)</t>
  </si>
  <si>
    <t>901.497.209 - 3</t>
  </si>
  <si>
    <r>
      <rPr>
        <sz val="9"/>
        <rFont val="Calibri"/>
        <family val="2"/>
        <scheme val="minor"/>
      </rPr>
      <t>CONSORCIO VÍAS URBANAS MACEO</t>
    </r>
    <r>
      <rPr>
        <sz val="9"/>
        <color rgb="FFFF0000"/>
        <rFont val="Calibri"/>
        <family val="2"/>
        <scheme val="minor"/>
      </rPr>
      <t xml:space="preserve"> 
INV. PRIVADA N° 007 - 2021</t>
    </r>
  </si>
  <si>
    <t>02 de julio de 2021</t>
  </si>
  <si>
    <t>038-2021</t>
  </si>
  <si>
    <t>INTERVENTORÍA TÉCNICA, ADMINISTRATIVA, FINANCIERA, JURÍDICA Y AMBIENTAL A LA EJECUCIÓN DE OBRAS EN EL PROYECTO DE MEJORAMIENTO DE VÍAS URBANAS, SECTOR ALTO DE LAS RUICES Y EL BOSQUE DEL MUNICIPIO DE MACEO ANTIOQUIA</t>
  </si>
  <si>
    <t>039-2021</t>
  </si>
  <si>
    <t>040-2021</t>
  </si>
  <si>
    <t>041-2021</t>
  </si>
  <si>
    <t>042-2021</t>
  </si>
  <si>
    <t>ADECUACIÓN Y MEJORAMIENTO DE ESPACIOS PÚBLICOS PARA LA MOVILIDAD SOSTENIBLE Y LA TRANSITABILIDAD DE LAS COMUNAS 1, 4 Y EL CORREGIMIENTO EN EL MUNICIPIO DE ITAGÜÍ</t>
  </si>
  <si>
    <t>ADECUACIÓN Y MEJORAMIENTO DE ESPACIOS PÚBLICOS PARA LA MOVILIDAD SOSTENIBLE Y LA TRANSITABILIDAD DE LAS COMUNAS 2, 3, 5 Y 6 EN EL MUNICIPIO DE ITAGÜÍ</t>
  </si>
  <si>
    <t>INTERVENTORÍA TÉCNICA, ADMINISTRATIVA, FINANCIERA, JURÍDICA Y AMBIENTAL PARA LA ADECUACIÓN Y MEJORAMIENTO DE ESPACIOS PÚBLICOS PARA LA MOVILIDAD SOSTENIBLE Y LA TRANSITABILIDAD DE LAS COMUNAS 1, 4 Y EL CORREGIMIENTO EN EL MUNICIPIO DE ITAGÜÍ</t>
  </si>
  <si>
    <t>INTERVENTORÍA TÉCNICA, ADMINISTRATIVA, FINANCIERA, JURÍDICA Y AMBIENTAL PARA LA ADECUACIÓN Y MEJORAMIENTO DE ESPACIOS PÚBLICOS PARA LA MOVILIDAD SOSTENIBLE Y LA TRANSITABILIDAD DE LAS COMUNAS 2, 3, 5, y 6 EN EL MUNICIPIO DE ITAGÜÍ</t>
  </si>
  <si>
    <t>901.501.820-1</t>
  </si>
  <si>
    <t>901.500.150-0</t>
  </si>
  <si>
    <t>901.500.785-7</t>
  </si>
  <si>
    <t>901.501.671-0</t>
  </si>
  <si>
    <r>
      <rPr>
        <sz val="9"/>
        <rFont val="Calibri"/>
        <family val="2"/>
        <scheme val="minor"/>
      </rPr>
      <t>CONSORCIO AG</t>
    </r>
    <r>
      <rPr>
        <sz val="9"/>
        <color rgb="FFFF0000"/>
        <rFont val="Calibri"/>
        <family val="2"/>
        <scheme val="minor"/>
      </rPr>
      <t xml:space="preserve"> (INV. PÚBLICA N° 006 - 2021)</t>
    </r>
  </si>
  <si>
    <r>
      <rPr>
        <sz val="9"/>
        <rFont val="Calibri"/>
        <family val="2"/>
        <scheme val="minor"/>
      </rPr>
      <t>CONSORCIO INTERVETORIA MEJORAMIENTO ESPACIOS PUBLICOS ITAGÜÍ</t>
    </r>
    <r>
      <rPr>
        <sz val="9"/>
        <color rgb="FFFF0000"/>
        <rFont val="Calibri"/>
        <family val="2"/>
        <scheme val="minor"/>
      </rPr>
      <t xml:space="preserve"> (INV. PÚBLICA N° 008 - 2021)</t>
    </r>
  </si>
  <si>
    <r>
      <rPr>
        <sz val="9"/>
        <rFont val="Calibri"/>
        <family val="2"/>
        <scheme val="minor"/>
      </rPr>
      <t>CONSORCIO DESARROLLO ITAGUI</t>
    </r>
    <r>
      <rPr>
        <sz val="9"/>
        <color rgb="FFFF0000"/>
        <rFont val="Calibri"/>
        <family val="2"/>
        <scheme val="minor"/>
      </rPr>
      <t xml:space="preserve"> (INV. PÚBLICA N° 007 - 2021)</t>
    </r>
  </si>
  <si>
    <r>
      <rPr>
        <sz val="9"/>
        <rFont val="Calibri"/>
        <family val="2"/>
        <scheme val="minor"/>
      </rPr>
      <t>CONSORCIO ESPACIO PUBLICO-009-2021</t>
    </r>
    <r>
      <rPr>
        <sz val="9"/>
        <color rgb="FFFF0000"/>
        <rFont val="Calibri"/>
        <family val="2"/>
        <scheme val="minor"/>
      </rPr>
      <t xml:space="preserve"> (INV. PÚBLICA N° 009 - 2021)</t>
    </r>
  </si>
  <si>
    <t>JAIIME EDUARDO RAMIREZ ALZATE</t>
  </si>
  <si>
    <t>043-2021</t>
  </si>
  <si>
    <t>PRESTACIÓN DE SERVICIOS PROFESIONALES EN INGENIERA CIVIL, PARA BRINDAR ACOMPAÑAMIENTO, APOYO Y SOPORTE A LA DIRECCIÓN OPERATIVA Y DE PROYECTOS EN LA CORRECTA EJECUCIÓN TÉCNICA, PRESUPUESTAL Y DE SEGUIMIENTO A LOS PROYECTOS DESARROLLADOS EN RAZÓN A LOS CONTRATOS O CONVENIOS INTERADMINISTRATIVOS QUE CELEBRA LA EMPRESA INDUSTRIAL Y COMERCIAL DE ESTADO ADELI</t>
  </si>
  <si>
    <t xml:space="preserve">JAIME EDUARDO RAMIREZ ALZATE   </t>
  </si>
  <si>
    <t>23/072021</t>
  </si>
  <si>
    <t>ADRIANA ZOBEIDA BUITRAGO MESA</t>
  </si>
  <si>
    <t>045-2021</t>
  </si>
  <si>
    <t>046-2021</t>
  </si>
  <si>
    <t>047-2021</t>
  </si>
  <si>
    <t>048-2021</t>
  </si>
  <si>
    <t>049-2021</t>
  </si>
  <si>
    <t>050-2021</t>
  </si>
  <si>
    <t>051-2021</t>
  </si>
  <si>
    <t>052-2021</t>
  </si>
  <si>
    <t xml:space="preserve">PRESTACIÓN DE SERVICIOS PROFESIONALES COMO ABOGADO COORDINADOR PARA LA GESTIÓN PREDIAL DE PROYETOS DE INFRAESTRUCTURA VIAL Y MEJORAMIENTOS Y/O EQUIPAMIENTOS DE ESPACIOS PUBLICOS DEL MUNICIPIO DE ITAGÜÍ. </t>
  </si>
  <si>
    <t xml:space="preserve">PRESTACIÓN DE SERVICIOS PROFESIONALES COMO ABOGADA PARA LA GESTIÓN PREDIAL DE PROYETOS DE INFRAESTRUCTURA VIAL Y MEJORAMIENTOS Y/O EQUIPAMIENTOS DE ESPACIOS PUBLICOS DEL MUNICIPIO DE ITAGÜÍ. </t>
  </si>
  <si>
    <t xml:space="preserve">PRESTACIÓN DE SERVICIOS PROFESIONALES COMO PSICOLOGA PARA LA GESTIÓN PREDIAL DE PROYETOS DE INFRAESTRUCTURA VIAL Y MEJORAMIENTOS Y/O EQUIPAMIENTOS DE ESPACIOS PUBLICOS DEL MUNICIPIO DE ITAGÜÍ. </t>
  </si>
  <si>
    <t xml:space="preserve">PRESTACIÓN DE SERVICIOS PROFESIONALES EN EL APOYO CONTABLE Y FINANCIERO PARA LA GESTIÓN PREDIAL DE PROYETOS DE INFRAESTRUCTURA VIAL Y MEJORAMIENTOS Y/O EQUIPAMIENTOS DE ESPACIOS PUBLICOS DEL MUNICIPIO DE ITAGÜÍ. </t>
  </si>
  <si>
    <t xml:space="preserve">PRESTACIÓN DE SERVICIOS PROFESIONALES COMO MENSAJERO PARA LA GESTIÓN PREDIAL DE PROYETOS DE INFRAESTRUCTURA VIAL Y MEJORAMIENTOS Y/O EQUIPAMIENTOS DE ESPACIOS PUBLICOS DEL MUNICIPIO DE ITAGÜÍ. </t>
  </si>
  <si>
    <t>REALIZAR EL DISEÑO DEL CERRAMIENTIO PERIMETRAL DE LA SEDE NORTE DE LA E.S.E HOSPITAL DEL SUR "GABRIEL JARAMILLO PIEDRAHITA" DEL MUNICIPIO DE ITAGÜÍ.</t>
  </si>
  <si>
    <t>PRESTACION DE SERVICIOS PROFESIONALES EN ARQUITECTURA PARA BRINDAR ACOMPAÑAMIENTO Y SOPORTE A LA DIRECCION OPERATIVA Y DE PROYECTOS EN LA REVISION DE LOS RESULTADOS DE CONTRATOS DE CONSULTORIA DE LA ENTIDAD Y EN LA CORRECTA EJECUCION TÉCNICA, PRESUPUESTAL Y DE SEGUIMIENTO A LOS PROYECTOS DESARROLLADOS EN RAZON A LOS CONTRATOS O CONVENIOS INTERADMINISTRATIVOS QUE CELEBRA LA EMPRESA INDUSTRIAL Y COMERCIAL DEL ESTADO - ADELI</t>
  </si>
  <si>
    <t>DESARROLLAR LAS ACTIVIDADES INHERENTES A LA FASE DE ESTUDIOS YDISEÑOS REQUIRIDOS PARA EL PROYECTO DE ADECUACIÓN Y MANTENIMIENTO DE LA INFRAESTRUCTURA, URBANISMO Y PAISAJISMO PERTENECIENTE AL AREA</t>
  </si>
  <si>
    <t>SANDRA MILENA MARIN MARIN</t>
  </si>
  <si>
    <t>PABLO VASQUEZ SEGURA</t>
  </si>
  <si>
    <t>OMAR DANIEL CASTRILLON PEREZ</t>
  </si>
  <si>
    <t>901.081.719-1</t>
  </si>
  <si>
    <t>INCOOC S.A.S</t>
  </si>
  <si>
    <t>ADRIANA BUITRAGO MESA</t>
  </si>
  <si>
    <t>053-2021</t>
  </si>
  <si>
    <t>ARRENDAMIENTO DEL ALUMBRADO NAVIDEÑO 2021, PARA EL MUNICIPIO DE ITAGÜÍ</t>
  </si>
  <si>
    <t>900.771.417-1</t>
  </si>
  <si>
    <t>CHRISTMAS FARAH S.A.S</t>
  </si>
  <si>
    <t>054-2021</t>
  </si>
  <si>
    <t>055-2021</t>
  </si>
  <si>
    <t>ADECUACIÓN Y MANTENIMIENTO DE LOS ESCENARIOS RECREATIVOS Y DEPORTIVOS DEL MUNICIPIO DE ITAGÜÍ</t>
  </si>
  <si>
    <t>INTERVENTORÍA TÉCNICA, ADMINISTRATIVA, FINANCIERA, JURÍDICA Y AMBIENTAL PARA LA ADECUACIÓN Y MANTENIMIENTO DE LOS ESCENARIOS RECREATIVOS Y DEPORTIVOS DEL MUNICIPIO DE ITAGÜÍ</t>
  </si>
  <si>
    <t>901.512.698-6</t>
  </si>
  <si>
    <t>901.513.645-0</t>
  </si>
  <si>
    <r>
      <rPr>
        <sz val="9"/>
        <rFont val="Calibri"/>
        <family val="2"/>
        <scheme val="minor"/>
      </rPr>
      <t xml:space="preserve">UNION TEMPORAL MANTENIMIENTO </t>
    </r>
    <r>
      <rPr>
        <sz val="9"/>
        <color rgb="FFFF0000"/>
        <rFont val="Calibri"/>
        <family val="2"/>
        <scheme val="minor"/>
      </rPr>
      <t>(INV. PUBLICA Nº 010 - 2021)</t>
    </r>
  </si>
  <si>
    <r>
      <rPr>
        <sz val="9"/>
        <rFont val="Calibri"/>
        <family val="2"/>
        <scheme val="minor"/>
      </rPr>
      <t>CONSORCIO INTERVENTORIA DEPORTIVA 2021</t>
    </r>
    <r>
      <rPr>
        <sz val="9"/>
        <color rgb="FFFF0000"/>
        <rFont val="Calibri"/>
        <family val="2"/>
        <scheme val="minor"/>
      </rPr>
      <t xml:space="preserve"> (INV. PRIVADA Nº 008 - 2021)</t>
    </r>
  </si>
  <si>
    <t>056-2021</t>
  </si>
  <si>
    <t>CONSECUTIVO NO UTILIZADO POR ERROR</t>
  </si>
  <si>
    <t>057 - 2021</t>
  </si>
  <si>
    <t>058 - 2021</t>
  </si>
  <si>
    <t>INTERVENTORÍA TÉCNICA, ADMINISTRATIVA, FINANCIERA, JURÍDICA Y AMBIENTAL PARA MANTENIMIENTO Y MEJORAMIENTO DE LOS EDIFICIOS DE USO INSTITUCIONAL E INSTITUCIONES EDUCATIVAS DEL MUNICIPIO DE ITAGÜÍ.</t>
  </si>
  <si>
    <t>MANTENIMIENTO Y MEJORAMIENTO DE LOS EDIFICIOS DE USO INSTITUCIONAL E INSTITUCIONES EDUCATIVAS DEL MUNICIPIO DE ITAGÜÍ.</t>
  </si>
  <si>
    <r>
      <rPr>
        <sz val="9"/>
        <rFont val="Calibri"/>
        <family val="2"/>
        <scheme val="minor"/>
      </rPr>
      <t xml:space="preserve">JOSE RICARDO TAMAYO </t>
    </r>
    <r>
      <rPr>
        <sz val="9"/>
        <color rgb="FFFF0000"/>
        <rFont val="Calibri"/>
        <family val="2"/>
        <scheme val="minor"/>
      </rPr>
      <t>(INV. PRIVADA Nº 009 - 2021)</t>
    </r>
  </si>
  <si>
    <r>
      <rPr>
        <sz val="9"/>
        <rFont val="Calibri"/>
        <family val="2"/>
        <scheme val="minor"/>
      </rPr>
      <t xml:space="preserve">ERNEY CASTAÑO GONZALEZ </t>
    </r>
    <r>
      <rPr>
        <sz val="9"/>
        <color rgb="FFFF0000"/>
        <rFont val="Calibri"/>
        <family val="2"/>
        <scheme val="minor"/>
      </rPr>
      <t>(INV. PUBLICA Nº 011 - 2021)</t>
    </r>
  </si>
  <si>
    <t>059-2021</t>
  </si>
  <si>
    <t>OBRAS DE INSTALACION Y SUMINISTRO DE PUNTOS DE ANCLAJE, LINEAS DE VIDA, ELEMENTOS DE PROTECCION Y ESCALERAS PARA LA SEDE DE LA E.S.E HOSPITAL DEL SUR "GABRIEL JARAMILLO PIEDRAHITA" DEL MUNICIPIO DE ITAGUI</t>
  </si>
  <si>
    <t>73.167.116-9</t>
  </si>
  <si>
    <t>FRANCISCO ANTONIO PEREZ ARELLANO</t>
  </si>
  <si>
    <t>061-2021</t>
  </si>
  <si>
    <t>060-2021</t>
  </si>
  <si>
    <t>062-2021</t>
  </si>
  <si>
    <t>063-2021</t>
  </si>
  <si>
    <t>064-2021</t>
  </si>
  <si>
    <t>065-2021</t>
  </si>
  <si>
    <t>ADECUACION Y EQUIPAMIENTO DEL ESCENARIO DEPORTIVO POLIDEPORTIVO OSCAR LOPEZ ESCOBAR" DEL MUNICIPIO DE ITAGUI</t>
  </si>
  <si>
    <t>900.747.330-7</t>
  </si>
  <si>
    <r>
      <rPr>
        <sz val="9"/>
        <rFont val="Calibri"/>
        <family val="2"/>
        <scheme val="minor"/>
      </rPr>
      <t>CUBE S.A.S</t>
    </r>
    <r>
      <rPr>
        <sz val="9"/>
        <color rgb="FFFF0000"/>
        <rFont val="Calibri"/>
        <family val="2"/>
        <scheme val="minor"/>
      </rPr>
      <t xml:space="preserve"> (INV. PUBLICA Nº 012 - 2021)</t>
    </r>
  </si>
  <si>
    <t>INTERVENTORIA PARA LAS OBRAS DE ADECUACION Y EQUIPAMIENTO DEL ESCENARIO DEPORTIVO POLIDEPORTIVO OSCAR LOPEZ ESCOBAR" DEL MUNICIPIO DE ITAGUI</t>
  </si>
  <si>
    <t>900.732.292-1</t>
  </si>
  <si>
    <t>INGENIERIA PUNTO 5 S.A.S</t>
  </si>
  <si>
    <t>ADQUISICIÓN DE EQUIPOS DE COMPUTO, LICENCIAS Y COMPONENTES PARA REPOTENCIALIZAR LOS DISPOSITIVOS DE LA AGENCIA DE DESARROLLO LOCAL DE ITAGÜÍ - ADELI.</t>
  </si>
  <si>
    <t>900.617.221-5</t>
  </si>
  <si>
    <t>ASF SOLUCIONES</t>
  </si>
  <si>
    <t>REALIZAR APOYO TECNICO EN LA FASE DE DIAGNOSTICO DEL COMPONENTE AMBIENTAL EN EL ASPECTO NATURAL DEL PROCESO DE REVISION Y AJUSTE DEL PLAN DE ORDENAMIENTO TERRITORIAL DEL MUNICIPIO DE ITAGUI</t>
  </si>
  <si>
    <t>71.779.632-7</t>
  </si>
  <si>
    <t>PABLO ANDRES BENITEZ ARANGO</t>
  </si>
  <si>
    <t>REALIZAR APOYO TECNICO EN LA FASE DE DIAGNOSTICO DE LOS COMPONENTES FUNCIONALES DEL PROCESO DE REVISION Y AJUSTE DEL PLAN DE ORDENAMIENTO TERRITORIAL DEL MUNICIPIO DE ITAGUI</t>
  </si>
  <si>
    <t>43.454.733-5</t>
  </si>
  <si>
    <t>EMILSE ALEJANDRA CASTRILLON ROMANO</t>
  </si>
  <si>
    <t>REALIZAR APOYO TECNICO EN LA FASE DE DIAGNOSTICO DEL COMPONENTE DE SERVICIOS PUBLICOS DEL PROCESO DE REVISION Y AJUSTE DEL PLAN DE ORDENAMIENTO TERRITORIAL DEL MUNICIPIO DE ITAGUI</t>
  </si>
  <si>
    <t>88.256.550-9</t>
  </si>
  <si>
    <t>JOSE ALEJANDRO SEPULVEDA GRANADA</t>
  </si>
  <si>
    <t>https://www.contratos.gov.co/consultas/detalleProceso.do?numConstancia=21-4-12101745</t>
  </si>
  <si>
    <t>https://www.contratos.gov.co/consultas/detalleProceso.do?numConstancia=21-4-12134890</t>
  </si>
  <si>
    <t>https://www.contratos.gov.co/consultas/detalleProceso.do?numConstancia=21-4-12064265</t>
  </si>
  <si>
    <t>https://www.contratos.gov.co/consultas/detalleProceso.do?numConstancia=21-4-12061199</t>
  </si>
  <si>
    <t>https://www.contratos.gov.co/consultas/detalleProceso.do?numConstancia=21-4-12061243</t>
  </si>
  <si>
    <t>https://www.contratos.gov.co/consultas/detalleProceso.do?numConstancia=21-4-12064267</t>
  </si>
  <si>
    <t>https://www.contratos.gov.co/consultas/detalleProceso.do?numConstancia=21-4-12158381</t>
  </si>
  <si>
    <t>044-2021</t>
  </si>
  <si>
    <t>PRESTACIÓN DE SERVICIOS PROFESIONALES DE OBRA ARTÍSTICA POR ENCARGO, CONSISTENTE EN LA ELABORACIÓN DE UN “MURAL EN EL POLIDEPORTIVO OSCAR LOPEZ ESCOBAR”, ALUSIVO A LA HISTORIA DEL DEPORTE DE LA CIUDAD DE ITAGÜÍ-ANTIOQUIA</t>
  </si>
  <si>
    <t>901.073.718-0</t>
  </si>
  <si>
    <t xml:space="preserve">FUNDACIÓN CULTURAL EL HORMIGUERO </t>
  </si>
  <si>
    <t>27/072021</t>
  </si>
  <si>
    <t>https://www.contratos.gov.co/consultas/detalleProceso.do?numConstancia=21-4-12166070</t>
  </si>
  <si>
    <t>https://www.contratos.gov.co/consultas/detalleProceso.do?numConstancia=21-4-12233811</t>
  </si>
  <si>
    <t>https://www.contratos.gov.co/consultas/detalleProceso.do?numConstancia=21-4-12233927</t>
  </si>
  <si>
    <t>https://www.contratos.gov.co/consultas/detalleProceso.do?numConstancia=21-4-12234261</t>
  </si>
  <si>
    <t>https://www.contratos.gov.co/consultas/detalleProceso.do?numConstancia=21-4-12234553</t>
  </si>
  <si>
    <t>https://www.contratos.gov.co/consultas/detalleProceso.do?numConstancia=21-4-12237837</t>
  </si>
  <si>
    <t>https://www.contratos.gov.co/consultas/detalleProceso.do?numConstancia=21-4-1223459</t>
  </si>
  <si>
    <t>https://www.contratos.gov.co/consultas/detalleProceso.do?numConstancia=21-4-12237979</t>
  </si>
  <si>
    <t>https://www.contratos.gov.co/consultas/detalleProceso.do?numConstancia=21-4-12258801</t>
  </si>
  <si>
    <t>https://www.contratos.gov.co/consultas/detalleProceso.do?numConstancia=21-4-12126620</t>
  </si>
  <si>
    <t>https://www.contratos.gov.co/consultas/detalleProceso.do?numConstancia=21-4-12272626</t>
  </si>
  <si>
    <t>https://www.contratos.gov.co/consultas/detalleProceso.do?numConstancia=21-4-12277711</t>
  </si>
  <si>
    <t>https://www.contratos.gov.co/consultas/detalleProceso.do?numConstancia=21-4-12279800</t>
  </si>
  <si>
    <t>https://www.contratos.gov.co/consultas/detalleProceso.do?numConstancia=21-4-12186497</t>
  </si>
  <si>
    <t>https://www.contratos.gov.co/consultas/detalleProceso.do?numConstancia=21-4-12315048</t>
  </si>
  <si>
    <t>https://www.contratos.gov.co/consultas/detalleProceso.do?numConstancia=21-4-12238763</t>
  </si>
  <si>
    <t>https://www.contratos.gov.co/consultas/detalleProceso.do?numConstancia=21-4-12313064</t>
  </si>
  <si>
    <t>https://www.contratos.gov.co/consultas/detalleProceso.do?numConstancia=21-4-12316164</t>
  </si>
  <si>
    <t>https://www.contratos.gov.co/consultas/detalleProceso.do?numConstancia=21-4-12356874</t>
  </si>
  <si>
    <t>https://www.contratos.gov.co/consultas/detalleProceso.do?numConstancia=21-4-12356917</t>
  </si>
  <si>
    <t>https://www.contratos.gov.co/consultas/detalleProceso.do?numConstancia=21-4-12367212</t>
  </si>
  <si>
    <t>INVESTIGACION INNOVACION Y DESARROLLO I2D S.A.S</t>
  </si>
  <si>
    <t>066-2021</t>
  </si>
  <si>
    <t>MEJORAMIENTO DE VIAS URBANAS EN EL MUNICIPIO DE ENTRERRIOS ANTIOQUIA</t>
  </si>
  <si>
    <t>900.604.696-3</t>
  </si>
  <si>
    <r>
      <t xml:space="preserve">OBRAS Y PROYECTOS MJ S.A.S </t>
    </r>
    <r>
      <rPr>
        <sz val="9"/>
        <color rgb="FFFF0000"/>
        <rFont val="Calibri"/>
        <family val="2"/>
        <scheme val="minor"/>
      </rPr>
      <t>(INV. PRIVADA N° 010 - 2021)</t>
    </r>
  </si>
  <si>
    <t>JORGE LUIS CARDONA</t>
  </si>
  <si>
    <t>https://www.contratos.gov.co/consultas/detalleProceso.do?numConstancia=21-4-12385594</t>
  </si>
  <si>
    <t>067-2021</t>
  </si>
  <si>
    <t>REMODELACION Y MEJORAMIENTO DE LAS INSTALACIONES DEL RECINTO DEL CONCEJO MUNICIPAL DE ITAGUI</t>
  </si>
  <si>
    <t>900.590.434.-8</t>
  </si>
  <si>
    <r>
      <t xml:space="preserve">RM CONCRETAR S.A.S </t>
    </r>
    <r>
      <rPr>
        <sz val="9"/>
        <color rgb="FFFF0000"/>
        <rFont val="Calibri"/>
        <family val="2"/>
        <scheme val="minor"/>
      </rPr>
      <t>(INV. PRIVADA N° 011 - 2021)</t>
    </r>
  </si>
  <si>
    <t>https://www.contratos.gov.co/consultas/detalleProceso.do?numConstancia=21-4-12391319</t>
  </si>
  <si>
    <t>068-2021</t>
  </si>
  <si>
    <t xml:space="preserve">PRESTACION DE SERVICIOS DE APOYO A LA GESTION EN EL DESARROLLO DE ACTIVIDADES OPERATIVAS DE LA AGENCIA PUBLICA DE EMPLEO DE LA EMPRESA INDUSTRIAL Y COMERCIAL DEL ESTADO - ADELI. </t>
  </si>
  <si>
    <t>ANDRES VARELA LONDOÑO</t>
  </si>
  <si>
    <t>EDISON ALEJANDRO CARRILLO</t>
  </si>
  <si>
    <t>https://www.contratos.gov.co/consultas/detalleProceso.do?numConstancia=21-4-12396409</t>
  </si>
  <si>
    <t>069-2021</t>
  </si>
  <si>
    <t>070-2021</t>
  </si>
  <si>
    <t>071-2021</t>
  </si>
  <si>
    <t>072-2022</t>
  </si>
  <si>
    <t>073-2021</t>
  </si>
  <si>
    <t>074-2021</t>
  </si>
  <si>
    <t>075-2021</t>
  </si>
  <si>
    <t>INTERVENTORIA TECNICA, ADMINISTRATIVA, FINANCIERA, JURIDICA Y AMBIENTAL PARA EL MEJORAMIENTO DE VIAS URBANAS EN EL MUNICIPIO DE ENTRERRIOS ANTIOQUIA</t>
  </si>
  <si>
    <t>811.039336-0</t>
  </si>
  <si>
    <r>
      <t xml:space="preserve">INGEODISEÑO S.A.S </t>
    </r>
    <r>
      <rPr>
        <sz val="9"/>
        <color rgb="FFFF0000"/>
        <rFont val="Calibri"/>
        <family val="2"/>
        <scheme val="minor"/>
      </rPr>
      <t>(CONTRATACION DIRECTA)</t>
    </r>
  </si>
  <si>
    <t>CONSTRUCCION, SUMINISTRO, INSTALACION Y PUESTA EN FUNCONAMIENTO DE ESTUFAS EFICIENTES Y POZOS SEPTICOS EN EL AREA RURAL DEL MUNICIPIO DE ITAGÚÍ</t>
  </si>
  <si>
    <r>
      <rPr>
        <sz val="9"/>
        <rFont val="Calibri"/>
        <family val="2"/>
        <scheme val="minor"/>
      </rPr>
      <t>INCOOC S.A.S</t>
    </r>
    <r>
      <rPr>
        <sz val="9"/>
        <color rgb="FFFF0000"/>
        <rFont val="Calibri"/>
        <family val="2"/>
        <scheme val="minor"/>
      </rPr>
      <t xml:space="preserve"> (CONTRATACION DIRECTA)</t>
    </r>
  </si>
  <si>
    <t>https://www.contratos.gov.co/consultas/detalleProceso.do?numConstancia=21-4-12405067</t>
  </si>
  <si>
    <t>https://www.contratos.gov.co/consultas/detalleProceso.do?numConstancia=21-4-12421266</t>
  </si>
  <si>
    <t>PRESTACION DE SERVICIOS PROFESIONALES PARA LA REALIZACION DE ACTIVIDADES DE PLANEACION, FORMACION, SOCIALIZACION Y DIFUSION EN EL MARCO DE LA ESTRATEGIA DE PARTICIPACION CIUDADANA  EN LA FASE DE DIAGNOSTICO DE LA REVISION Y AJUSTE DEL PLAN DE ORDENAMIENTO TERRITORIAL DEL MUNICIPIO DE ITAGÜÍ.</t>
  </si>
  <si>
    <t>43.838.962-4</t>
  </si>
  <si>
    <r>
      <t xml:space="preserve">MARIA ISABEL JARAMILLO ZAPATA </t>
    </r>
    <r>
      <rPr>
        <sz val="9"/>
        <color rgb="FFFF0000"/>
        <rFont val="Calibri"/>
        <family val="2"/>
        <scheme val="minor"/>
      </rPr>
      <t>(CONTRATACION DIRECTA)</t>
    </r>
  </si>
  <si>
    <t>ISSYS DAYAN ZAPATA</t>
  </si>
  <si>
    <t>https://www.contratos.gov.co/consultas/detalleProceso.do?numConstancia=21-4-12420533</t>
  </si>
  <si>
    <t>PRESTACION DE SERVICIOS PROFESIONALES PARA LA REALIZACION DE ACTIVIDADES DE PLANEACION, FORMACION, SOCIALIZACION Y DIFUSION EN EL MARCO DE LA ESTRATEGIA DE PARTICIPACION CIUDADANA EN LA FASE DE DIAGNOSTICO DE LA REVISION Y AJUSTE DEL PLAN DE ORDENAMIENTO TERRITORIAL DEL MUNICIPIO DE ITAGÜI.</t>
  </si>
  <si>
    <r>
      <t xml:space="preserve">LUIS GUILLERMO PEREZ ECHEVERRI </t>
    </r>
    <r>
      <rPr>
        <sz val="9"/>
        <color rgb="FFFF0000"/>
        <rFont val="Calibri"/>
        <family val="2"/>
        <scheme val="minor"/>
      </rPr>
      <t>(CONTRATACION DIRECTA)</t>
    </r>
  </si>
  <si>
    <t>https://www.contratos.gov.co/consultas/detalleProceso.do?numConstancia=21-4-12474558</t>
  </si>
  <si>
    <t>076-2021</t>
  </si>
  <si>
    <t>077-2021</t>
  </si>
  <si>
    <t>078-2021</t>
  </si>
  <si>
    <t>079-2021</t>
  </si>
  <si>
    <t>080-2021</t>
  </si>
  <si>
    <t>081-2021</t>
  </si>
  <si>
    <t>082-2021</t>
  </si>
  <si>
    <t>083-2021</t>
  </si>
  <si>
    <t>084-2021</t>
  </si>
  <si>
    <t>085-2021</t>
  </si>
  <si>
    <t>086-2021</t>
  </si>
  <si>
    <t>087-2021</t>
  </si>
  <si>
    <t>088-2021</t>
  </si>
  <si>
    <t>089-2021</t>
  </si>
  <si>
    <t>090-2021</t>
  </si>
  <si>
    <t>091-2021</t>
  </si>
  <si>
    <t>EJECUTAR MEDIDAS CORRECTIVAS IMPUESTAS EN LOS PROCESOS SANCIONATORIOS ADELANTADOS POR COMPORTAMIENTOS CONTRARIOS A LA INTEGRIDAD URBANISTICA</t>
  </si>
  <si>
    <t>43.517.263-7</t>
  </si>
  <si>
    <r>
      <t xml:space="preserve">BEATRIZ EUGENIA BARROS MADRIGAL </t>
    </r>
    <r>
      <rPr>
        <sz val="9"/>
        <color rgb="FFFF0000"/>
        <rFont val="Calibri"/>
        <family val="2"/>
        <scheme val="minor"/>
      </rPr>
      <t>(INV. PRIVADA N° 012 - 2021)</t>
    </r>
  </si>
  <si>
    <t>https://www.contratos.gov.co/consultas/detalleProceso.do?numConstancia=21-4-12467077</t>
  </si>
  <si>
    <t>SELECCIÓN DE CONSULTOR PARA LA ELABORACIÓN DE ESTUDIOS Y DISEÑOS REQUERIDOS PARA EL VIVERO MUNICIPAL Y LAS ADECUACIONES DE LA PISTA BMX EN EL MUNICIPIO DE ITAGÜÍ</t>
  </si>
  <si>
    <t>901.068.857 - 6</t>
  </si>
  <si>
    <r>
      <rPr>
        <sz val="9"/>
        <rFont val="Calibri"/>
        <family val="2"/>
        <scheme val="minor"/>
      </rPr>
      <t>CONCEPTO Y MOVIMIENTO S.A.S</t>
    </r>
    <r>
      <rPr>
        <sz val="9"/>
        <color rgb="FFFF0000"/>
        <rFont val="Calibri"/>
        <family val="2"/>
        <scheme val="minor"/>
      </rPr>
      <t xml:space="preserve"> (INV.PRIVADA No. 013 - 2021)</t>
    </r>
  </si>
  <si>
    <t>https://www.contratos.gov.co/consultas/detalleProceso.do?numConstancia=21-4-12511140</t>
  </si>
  <si>
    <t>REVISIÓN Y ACTUALIZACIÓN DE LOS ESTUDIOS DE DETALLE DE AMENAZA, VULNERABILIDAD Y RIESGO POR MOVIMIENTOS EN MASA, INUNDACIONES Y TORRENCIALIDAD DEL MUNICIPIO DE ITAGÜÍ, EN EL MARCO DEL DECRETO 1077 DE 2015</t>
  </si>
  <si>
    <t>890.901.389-5</t>
  </si>
  <si>
    <r>
      <rPr>
        <sz val="9"/>
        <rFont val="Calibri"/>
        <family val="2"/>
        <scheme val="minor"/>
      </rPr>
      <t>UNIVERSIDAD EAFIT</t>
    </r>
    <r>
      <rPr>
        <sz val="9"/>
        <color rgb="FFFF0000"/>
        <rFont val="Calibri"/>
        <family val="2"/>
        <scheme val="minor"/>
      </rPr>
      <t xml:space="preserve"> (INVITACIÓN PÚBLICA DE OFERTA 013 - 2021)</t>
    </r>
  </si>
  <si>
    <t>https://www.contratos.gov.co/consultas/detalleProceso.do?numConstancia=21-4-12449384</t>
  </si>
  <si>
    <t>PRESTACION DE SERVICIOS PROFESIONALES PARA EL COMPONENTE SOCIAL EN LA GESTON PREDIAL DE PROYECTOS DE NTERVENCIÓN VIAL Y ESPACIOS PUBLICOS DEL MUNICIPIO DE ITAGUI</t>
  </si>
  <si>
    <t>ALEJANDRO CARRILLO ARIAS</t>
  </si>
  <si>
    <t>PRESTACION DE SERVICIOS PROFESIONALES DE ABOGADA ESPECIALIZADA, BRINDANDO APOYO EN LA ACTIVIDADES CONTRACTUTALES DE LA DIRECCION JURIDICA DE LA EMPRESA INDUSTRIAL Y COMERCIAL DEL ESTADO - ADELI</t>
  </si>
  <si>
    <t>43221253-1</t>
  </si>
  <si>
    <t>ESTER ELENA OSORIO FLOREZ</t>
  </si>
  <si>
    <t>PRESTACION DE SERVICIOS DE APOYO A LA GESTION PARA EL TRANSPORTE TERRESTE ESPECIAL MUNICIPAL E INTERMUNICIPAL DE PERSONAL ADSCRITO, VINCULADO, CONTRATISTAS Y/O COLABORADORES DE LA AGENCIA EN EL MARCO DEL DESARROLLO DE DILIGENCIAS ASOCIADAS A LOS DIFERENTES PROYECTOS DE LA EMPRESA INDUSTRIAL Y COMERCIAL DEL ESTADO - ADELI</t>
  </si>
  <si>
    <t>901.454.126-6</t>
  </si>
  <si>
    <t>PLATINUM S.A.S</t>
  </si>
  <si>
    <t>https://www.contratos.gov.co/consultas/detalleProceso.do?numConstancia=21-4-12524213</t>
  </si>
  <si>
    <t>https://www.contratos.gov.co/consultas/detalleProceso.do?numConstancia=21-4-12534375</t>
  </si>
  <si>
    <t>https://www.contratos.gov.co/consultas/detalleProceso.do?numConstancia=21-4-12542705</t>
  </si>
  <si>
    <t>REALIZACION DE AVALUOS COMERCIALES DE LOS PREDIOS PRIORIZADOS POR LA SECRETARIA DE MEDIO AMBIENTE DENTRO DEL PROYECTO DE AREAS DE IMPORTANCIA ESTRATEGICA PARA LA CONSEVACION DEL RECURSO HIDRICO EN EL MUNICIPIO DE ITAGUI</t>
  </si>
  <si>
    <t>PRESTACION DE SERVICIOS PROFESIONALES PARA BRINDAR APOYO A LA DIRECCIÓN ADMINISTRATIVA Y FINANCIERA EN EL AREA DE SERGURIDAD SOCIAL INTEGRAL PARA EL ÁREA DE SALARIOS Y PRESTACIONES SOCIALES, IGUALMENTE PARA LA ARTICULACION DE OTROS GASTOS CONTABLES Y PRESUPUESTALES DE LA EMPRESA INDUSTRIAL Y COMERCIAL DEL ESTADO - ADELI</t>
  </si>
  <si>
    <t>PRESTACIOS DE SERVICOS LOGISTICOS, DE RECOLECCION, TRANSPORTE, ORGANIZACIÓN POR LOTES Y DISPOSICIÓN FINAL DE BIENES MUEBLES INSERVIBLES DEL MUNICIPIO DE ITAGUI</t>
  </si>
  <si>
    <t>900.232.534-1</t>
  </si>
  <si>
    <t>VALORAR S.A</t>
  </si>
  <si>
    <t>LILIANA MARIA OROZCO RODRIGUEZ</t>
  </si>
  <si>
    <t>https://www.contratos.gov.co/consultas/detalleProceso.do?numConstancia=21-4-12555709</t>
  </si>
  <si>
    <t>https://www.contratos.gov.co/consultas/detalleProceso.do?numConstancia=21-4-12556256</t>
  </si>
  <si>
    <t>https://www.contratos.gov.co/consultas/detalleProceso.do?numConstancia=21-4-12558496</t>
  </si>
  <si>
    <t>MANTENIMIENTO Y MERJORAMIENTO DE LAS INSTALACIONES LOCATIVAS DE LA E. S. E. HOSPITAL DEL SUR GABRIEL JARAMILLO PIEDRAHITA, SEDE SA PIO</t>
  </si>
  <si>
    <t>INTERVENTORIA TÉCNICA, ADMINISTRATIVA, FINANCIERA, JURÍDICA Y AMBIENTAL PARA EL MEJORAMIENTO DE LAS INSTALACIONES LOCATIVAS DE LA E.S.E HOSPITAL DEL SUR "GABRIEL JARAMILLO PIEDRAHITA" SEDE SAN PIO</t>
  </si>
  <si>
    <t>900.277.581 - 1</t>
  </si>
  <si>
    <r>
      <t xml:space="preserve">CASAM CONSULTORIAS Y CONSTRUCCIONES S.A.S </t>
    </r>
    <r>
      <rPr>
        <sz val="9"/>
        <color rgb="FFFF0000"/>
        <rFont val="Calibri"/>
        <family val="2"/>
        <scheme val="minor"/>
      </rPr>
      <t>(INVITACIÓN PRIVADA DE OFERTA 014-2021)</t>
    </r>
  </si>
  <si>
    <t>71.795.14</t>
  </si>
  <si>
    <r>
      <t xml:space="preserve">JAVIER DANILO GRISALES SAAVEDRA </t>
    </r>
    <r>
      <rPr>
        <sz val="9"/>
        <color rgb="FFFF0000"/>
        <rFont val="Calibri"/>
        <family val="2"/>
        <scheme val="minor"/>
      </rPr>
      <t>(CONTRATACION DIRECTA)</t>
    </r>
  </si>
  <si>
    <t>0/12/2021</t>
  </si>
  <si>
    <t>https://www.contratos.gov.co/consultas/detalleProceso.do?numConstancia=21-4-12566280</t>
  </si>
  <si>
    <t>https://www.contratos.gov.co/consultas/detalleProceso.do?numConstancia=21-4-12578013</t>
  </si>
  <si>
    <t>INTERVENTORIA TECNICA, ADMINISTRATIVA, FINANCIERA, JURIDICA Y AMBIENTAL PARA CONSTRUCCIÓN DE ESTRUCTURAS HIDRAULICAS, OBRAS DE CONTENCIÓN Y OBRAS DE MANTENIMIENTO EN PUNTOS CRÍTICOS DE DIFERENTES QUEBRADAS EN EL MUNICIPIO DE ITAGÜÍ.</t>
  </si>
  <si>
    <t>CONSTRUCCIÓN DE ESTRUCTURAS HIDRAULICAS, OBRAS DE CONTENCIÓN Y OBRAS DE MANTENIMIENTO EN PUNTOS CRÍTICOS DE DIFERENTES QUEBRADAS EN EL MUNICIPIO DE ITAGÜÍ</t>
  </si>
  <si>
    <t>901.548.896-3</t>
  </si>
  <si>
    <r>
      <t xml:space="preserve">CONSORCIO INTER QUEBRDAS </t>
    </r>
    <r>
      <rPr>
        <sz val="9"/>
        <color rgb="FFFF0000"/>
        <rFont val="Calibri"/>
        <family val="2"/>
        <scheme val="minor"/>
      </rPr>
      <t>(INV. PRIVADA  N° 015 - 2021)</t>
    </r>
  </si>
  <si>
    <t>901.549.248-5</t>
  </si>
  <si>
    <r>
      <t xml:space="preserve">CONSORCIO OBRAS HIDRAULICAS ITAGÜÍ </t>
    </r>
    <r>
      <rPr>
        <sz val="9"/>
        <color rgb="FFFF0000"/>
        <rFont val="Calibri"/>
        <family val="2"/>
        <scheme val="minor"/>
      </rPr>
      <t>(INV. PUBLICA N° 014 - 2021)</t>
    </r>
  </si>
  <si>
    <t>https://www.contratos.gov.co/consultas/detalleProceso.do?numConstancia=21-4-12625898</t>
  </si>
  <si>
    <t>https://www.contratos.gov.co/consultas/detalleProceso.do?numConstancia=21-4-12568211</t>
  </si>
  <si>
    <t>MEJORAMIENTO DEL ENTORNO URBANISTICO CALLE 27A CHORRITOS - BARILOCHE, INCLUYE CALZADA NORTE CALLE 75 SUR ENTRE CALLE 27 A Y FIORI MUNICIPIO DE ITAGUI</t>
  </si>
  <si>
    <t>INTERVENTORIA TECNICA, ADMINISTRATIVA, FINANCIERA Y AMBIENTAL PARA EL MEJORAMIENTO DEL ENTORNO URBANISTICO CALLE 27A CHORRITOS - BARILOCHE, INCLUYE CALZADA NORTE CALLE 75 SUR ENTRE CALLE 27 A Y FIORI MUNICIPIO DE ITAGUI</t>
  </si>
  <si>
    <t>901.549.957-9</t>
  </si>
  <si>
    <r>
      <rPr>
        <sz val="9"/>
        <color theme="1"/>
        <rFont val="Calibri"/>
        <family val="2"/>
        <scheme val="minor"/>
      </rPr>
      <t>CONSORCIO CHORRITOS BARILOCHE</t>
    </r>
    <r>
      <rPr>
        <sz val="9"/>
        <color rgb="FFFF0000"/>
        <rFont val="Calibri"/>
        <family val="2"/>
        <scheme val="minor"/>
      </rPr>
      <t xml:space="preserve"> (INV. PUBLICA N° 015 - 2021)</t>
    </r>
  </si>
  <si>
    <t>800.250.173-1</t>
  </si>
  <si>
    <r>
      <rPr>
        <sz val="9"/>
        <color theme="1"/>
        <rFont val="Calibri"/>
        <family val="2"/>
        <scheme val="minor"/>
      </rPr>
      <t>SODICON S.A.S</t>
    </r>
    <r>
      <rPr>
        <sz val="9"/>
        <color rgb="FFFF0000"/>
        <rFont val="Calibri"/>
        <family val="2"/>
        <scheme val="minor"/>
      </rPr>
      <t xml:space="preserve"> (INV. PRIVADA N° 017 - 2021)</t>
    </r>
  </si>
  <si>
    <t>JAIME EDUARDO RAMIREZ</t>
  </si>
  <si>
    <t>$1.144..816.642</t>
  </si>
  <si>
    <t>https://www.contratos.gov.co/consultas/detalleProceso.do?numConstancia=21-4-12583152</t>
  </si>
  <si>
    <t>https://www.contratos.gov.co/consultas/detalleProceso.do?numConstancia=21-4-12638198</t>
  </si>
  <si>
    <t>SELECCIÓN DE CONSULTOR PARA LA ELABORACION DE ESTUDIOS Y DISEÑOS DE LA AMPLIACION VIAL Y MEJORAMIENTO URBANISTICO DE LA CALLE 36 DESDE LA CARRERA 70 HASTA LA QUEBRADA LA LIMONA EN ITAGÜÍ, Y PARA SAN ANTONIO DE PRADO EN MEDELLIN, DESDE LA QUEBRADA LA LIMONA POR LAS CARRERAS 54 E Y 55 HASTA LA INSTITUCIÓN EDUCATIVA ANGELA RESTREPO MORENO DE MEDELLIN - ANTIOQUIA</t>
  </si>
  <si>
    <t>900.355.180-6</t>
  </si>
  <si>
    <r>
      <rPr>
        <sz val="9"/>
        <rFont val="Calibri"/>
        <family val="2"/>
        <scheme val="minor"/>
      </rPr>
      <t>CONCAVAS S.A.S</t>
    </r>
    <r>
      <rPr>
        <sz val="9"/>
        <color rgb="FFFF0000"/>
        <rFont val="Calibri"/>
        <family val="2"/>
        <scheme val="minor"/>
      </rPr>
      <t xml:space="preserve"> (INV. PRIVADA No. 016-2021)</t>
    </r>
  </si>
  <si>
    <t>ADRIANA ZOBEIDA BUITAGO MESA</t>
  </si>
  <si>
    <t>https://www.contratos.gov.co/consultas/detalleProceso.do?numConstancia=21-4-12641324</t>
  </si>
  <si>
    <t>https://www.contratos.gov.co/consultas/detalleProceso.do?numConstancia=21-4-12582037</t>
  </si>
  <si>
    <t>INSTALACION Y AMPLIACION DE LA INFRAESTRUCTURA TECNOLOGICA Y PRESTACION INTEGRAL DE SERVICIOS DE INTERNET Y CONECTIVIDAD EN FIBRA OPTICA PARA INSTITUCIONES EDUCATIVAS PRORIZADAS OFICIALES DEL MUNICIPIO DE ITAGÜÍ - ANTIOQUIA UBICADAS EN LA ZONA RURAL Y EN PARQUES PUBLICOS Y EN ESCENARIOS CULTURALES Y/O DEPORTIVOS DEL MUNICIPIO</t>
  </si>
  <si>
    <r>
      <rPr>
        <sz val="9"/>
        <rFont val="Calibri"/>
        <family val="2"/>
        <scheme val="minor"/>
      </rPr>
      <t>ENERGIZANDO S.A.S</t>
    </r>
    <r>
      <rPr>
        <sz val="9"/>
        <color rgb="FFFF0000"/>
        <rFont val="Calibri"/>
        <family val="2"/>
        <scheme val="minor"/>
      </rPr>
      <t xml:space="preserve"> (INV. PUBLICA N° 017 - 2021)</t>
    </r>
  </si>
  <si>
    <t>LUZ ANGELA RUIZ</t>
  </si>
  <si>
    <r>
      <rPr>
        <sz val="9"/>
        <rFont val="Calibri"/>
        <family val="2"/>
        <scheme val="minor"/>
      </rPr>
      <t>ENERGIZANDO S.A.S</t>
    </r>
    <r>
      <rPr>
        <sz val="9"/>
        <color rgb="FFFF0000"/>
        <rFont val="Calibri"/>
        <family val="2"/>
        <scheme val="minor"/>
      </rPr>
      <t xml:space="preserve"> (INV. PRIVADA N° 018 - 2021)</t>
    </r>
  </si>
  <si>
    <t>https://www.contratos.gov.co/consultas/detalleProceso.do?numConstancia=21-4-12648022</t>
  </si>
  <si>
    <t>https://www.contratos.gov.co/consultas/detalleProceso.do?numConstancia=21-4-12591745</t>
  </si>
  <si>
    <t>INSTALACION DE CAMARAS DE SEGURIDAD PARA LA AMPLIACIÓN DEL CIRCUITO CERRADO  DE TELEVISIÓN EN PUNTOS FOCALIZDOS DEL MUNICIPIO DE ITAGÜÍ</t>
  </si>
  <si>
    <t>901.100.956-3</t>
  </si>
  <si>
    <r>
      <rPr>
        <sz val="9"/>
        <rFont val="Calibri"/>
        <family val="2"/>
        <scheme val="minor"/>
      </rPr>
      <t xml:space="preserve">GIRALTECH S.A.S </t>
    </r>
    <r>
      <rPr>
        <sz val="9"/>
        <color rgb="FFFF0000"/>
        <rFont val="Calibri"/>
        <family val="2"/>
        <scheme val="minor"/>
      </rPr>
      <t>(INV. PUBLICA N° 018 - 2021)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</si>
</sst>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Red]\-&quot;$&quot;#,##0"/>
    <numFmt numFmtId="165" formatCode="_-&quot;$&quot;* #,##0.00_-;\-&quot;$&quot;* #,##0.00_-;_-&quot;$&quot;* &quot;-&quot;??_-;_-@_-"/>
    <numFmt numFmtId="166" formatCode="[$-C0A]d\-mmm\-yyyy;@"/>
    <numFmt numFmtId="167" formatCode="[$$-240A]\ #,##0"/>
    <numFmt numFmtId="168" formatCode="_-&quot;$&quot;* #,##0_-;\-&quot;$&quot;* #,##0_-;_-&quot;$&quot;* &quot;-&quot;??_-;_-@_-"/>
  </numFmts>
  <fonts count="16">
    <font>
      <sz val="11"/>
      <color theme="1"/>
      <name val="Calibri"/>
      <family val="2"/>
      <scheme val="minor"/>
    </font>
    <font>
      <b/>
      <sz val="9"/>
      <color theme="1"/>
      <name val="Arial"/>
      <family val="2"/>
    </font>
    <font>
      <b/>
      <sz val="9"/>
      <name val="Arial"/>
      <family val="2"/>
    </font>
    <font>
      <sz val="9"/>
      <color theme="1"/>
      <name val="Calibri"/>
      <family val="2"/>
      <scheme val="minor"/>
    </font>
    <font>
      <sz val="9"/>
      <name val="Calibri"/>
      <family val="2"/>
      <scheme val="minor"/>
    </font>
    <font>
      <u/>
      <sz val="11"/>
      <color theme="10"/>
      <name val="Calibri"/>
      <family val="2"/>
      <scheme val="minor"/>
    </font>
    <font>
      <u/>
      <sz val="8"/>
      <color theme="10"/>
      <name val="Calibri"/>
      <family val="2"/>
      <scheme val="minor"/>
    </font>
    <font>
      <sz val="11"/>
      <color theme="1"/>
      <name val="Calibri"/>
      <family val="2"/>
      <scheme val="minor"/>
    </font>
    <font>
      <sz val="8"/>
      <color theme="1"/>
      <name val="Calibri"/>
      <family val="2"/>
      <scheme val="minor"/>
    </font>
    <font>
      <sz val="8"/>
      <color theme="1"/>
      <name val="Calibri "/>
    </font>
    <font>
      <sz val="8"/>
      <name val="Calibri "/>
    </font>
    <font>
      <sz val="9"/>
      <color rgb="FFFF0000"/>
      <name val="Calibri"/>
      <family val="2"/>
      <scheme val="minor"/>
    </font>
    <font>
      <sz val="8"/>
      <color rgb="FFFF0000"/>
      <name val="Calibri "/>
    </font>
    <font>
      <sz val="6"/>
      <color theme="1"/>
      <name val="Calibri"/>
      <family val="2"/>
      <scheme val="minor"/>
    </font>
    <font>
      <b/>
      <sz val="11"/>
      <color theme="1"/>
      <name val="Calibri"/>
      <family val="2"/>
      <scheme val="minor"/>
    </font>
    <font>
      <sz val="8"/>
      <name val="Calibri"/>
      <family val="2"/>
      <scheme val="minor"/>
    </font>
  </fonts>
  <fills count="5">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7">
    <xf numFmtId="0" fontId="0" fillId="0" borderId="0"/>
    <xf numFmtId="0" fontId="5" fillId="0" borderId="0" applyNumberForma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cellStyleXfs>
  <cellXfs count="161">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66"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3" fontId="3" fillId="0" borderId="1" xfId="0" applyNumberFormat="1" applyFont="1" applyBorder="1" applyAlignment="1">
      <alignment horizontal="center" vertical="center"/>
    </xf>
    <xf numFmtId="0" fontId="3" fillId="0" borderId="1" xfId="0" applyFont="1" applyBorder="1"/>
    <xf numFmtId="49" fontId="9" fillId="2" borderId="1" xfId="0" applyNumberFormat="1" applyFont="1" applyFill="1" applyBorder="1" applyAlignment="1">
      <alignment horizontal="center" vertical="center"/>
    </xf>
    <xf numFmtId="0" fontId="9" fillId="3" borderId="1" xfId="0" applyFont="1" applyFill="1" applyBorder="1" applyAlignment="1">
      <alignment horizontal="justify" vertical="center" wrapText="1"/>
    </xf>
    <xf numFmtId="3" fontId="10" fillId="3" borderId="1"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14" fontId="9" fillId="3"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67" fontId="10" fillId="3" borderId="3" xfId="0" applyNumberFormat="1" applyFont="1" applyFill="1" applyBorder="1" applyAlignment="1">
      <alignment horizontal="center" vertical="center" wrapText="1"/>
    </xf>
    <xf numFmtId="167" fontId="10" fillId="3" borderId="1" xfId="0" applyNumberFormat="1" applyFont="1" applyFill="1" applyBorder="1" applyAlignment="1">
      <alignment horizontal="center" vertical="center"/>
    </xf>
    <xf numFmtId="167" fontId="10" fillId="0" borderId="4" xfId="0" applyNumberFormat="1" applyFont="1" applyFill="1" applyBorder="1" applyAlignment="1">
      <alignment horizontal="center" vertical="center" wrapText="1"/>
    </xf>
    <xf numFmtId="10" fontId="9" fillId="3" borderId="1" xfId="0" applyNumberFormat="1" applyFont="1" applyFill="1" applyBorder="1" applyAlignment="1">
      <alignment horizontal="center" vertical="center"/>
    </xf>
    <xf numFmtId="0" fontId="9" fillId="0" borderId="1" xfId="0" applyFont="1" applyFill="1" applyBorder="1" applyAlignment="1">
      <alignment horizontal="justify" vertical="center" wrapText="1"/>
    </xf>
    <xf numFmtId="3" fontId="9" fillId="0"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167" fontId="10" fillId="0" borderId="1" xfId="0" applyNumberFormat="1" applyFont="1" applyFill="1" applyBorder="1" applyAlignment="1">
      <alignment horizontal="center" vertical="center" wrapText="1"/>
    </xf>
    <xf numFmtId="0" fontId="9" fillId="0" borderId="1" xfId="0" applyFont="1" applyFill="1" applyBorder="1"/>
    <xf numFmtId="167" fontId="10" fillId="3" borderId="1" xfId="0" applyNumberFormat="1" applyFont="1" applyFill="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xf numFmtId="0" fontId="9" fillId="0" borderId="1" xfId="0" applyFont="1" applyBorder="1" applyAlignment="1">
      <alignment vertical="center" wrapText="1"/>
    </xf>
    <xf numFmtId="3" fontId="9" fillId="0" borderId="1" xfId="0" applyNumberFormat="1" applyFont="1" applyBorder="1" applyAlignment="1">
      <alignment horizontal="center" vertical="center"/>
    </xf>
    <xf numFmtId="0" fontId="9" fillId="4" borderId="1" xfId="0" applyFont="1" applyFill="1" applyBorder="1" applyAlignment="1">
      <alignment horizontal="center" vertical="center" wrapText="1"/>
    </xf>
    <xf numFmtId="14" fontId="9" fillId="0" borderId="1" xfId="0" applyNumberFormat="1" applyFont="1" applyBorder="1" applyAlignment="1">
      <alignment horizontal="center" vertical="center"/>
    </xf>
    <xf numFmtId="14" fontId="10" fillId="3"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xf>
    <xf numFmtId="168" fontId="10" fillId="3" borderId="1" xfId="2" applyNumberFormat="1" applyFont="1" applyFill="1" applyBorder="1" applyAlignment="1">
      <alignment horizontal="center" vertical="center" wrapText="1"/>
    </xf>
    <xf numFmtId="168" fontId="10" fillId="3" borderId="1" xfId="2" applyNumberFormat="1" applyFont="1" applyFill="1" applyBorder="1" applyAlignment="1">
      <alignment vertical="center" wrapText="1"/>
    </xf>
    <xf numFmtId="9" fontId="10" fillId="0" borderId="1" xfId="0" applyNumberFormat="1" applyFont="1" applyBorder="1" applyAlignment="1">
      <alignment horizontal="center" vertical="center"/>
    </xf>
    <xf numFmtId="0" fontId="8" fillId="0" borderId="1" xfId="0" applyFont="1" applyBorder="1"/>
    <xf numFmtId="14" fontId="9"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0" fillId="0" borderId="1" xfId="0" applyBorder="1"/>
    <xf numFmtId="0" fontId="3" fillId="0" borderId="1" xfId="0" applyFont="1" applyBorder="1" applyAlignment="1">
      <alignment horizontal="justify" vertical="center" wrapText="1"/>
    </xf>
    <xf numFmtId="10" fontId="3" fillId="0" borderId="1" xfId="0" applyNumberFormat="1" applyFont="1" applyFill="1" applyBorder="1" applyAlignment="1">
      <alignment horizontal="center" vertical="center"/>
    </xf>
    <xf numFmtId="0" fontId="0" fillId="0" borderId="0" xfId="0" applyFill="1"/>
    <xf numFmtId="0" fontId="6" fillId="0" borderId="1" xfId="1" applyFont="1" applyFill="1" applyBorder="1"/>
    <xf numFmtId="49" fontId="3" fillId="2" borderId="1" xfId="0" applyNumberFormat="1" applyFont="1" applyFill="1" applyBorder="1" applyAlignment="1">
      <alignment horizontal="center" vertical="center" wrapText="1"/>
    </xf>
    <xf numFmtId="164" fontId="3" fillId="0" borderId="1" xfId="3" applyNumberFormat="1" applyFont="1" applyFill="1" applyBorder="1" applyAlignment="1">
      <alignment horizontal="center" vertical="center" wrapText="1"/>
    </xf>
    <xf numFmtId="168" fontId="3" fillId="0" borderId="1" xfId="3" applyNumberFormat="1" applyFont="1" applyFill="1" applyBorder="1" applyAlignment="1">
      <alignment horizontal="center" vertical="center" wrapText="1"/>
    </xf>
    <xf numFmtId="168" fontId="3" fillId="0" borderId="1" xfId="3" applyNumberFormat="1" applyFont="1" applyFill="1" applyBorder="1" applyAlignment="1">
      <alignment horizontal="center" vertical="center" wrapText="1"/>
    </xf>
    <xf numFmtId="3"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49" fontId="3" fillId="2"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68" fontId="3" fillId="0" borderId="1" xfId="3" applyNumberFormat="1" applyFont="1" applyFill="1" applyBorder="1" applyAlignment="1">
      <alignment horizontal="center" vertical="center" wrapText="1"/>
    </xf>
    <xf numFmtId="0" fontId="13" fillId="0" borderId="1" xfId="0" applyFont="1" applyBorder="1"/>
    <xf numFmtId="0" fontId="4" fillId="4"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49" fontId="3" fillId="2"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0" fillId="0" borderId="1" xfId="0" applyBorder="1"/>
    <xf numFmtId="3"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49" fontId="3" fillId="2"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0" fillId="0" borderId="1" xfId="0" applyBorder="1"/>
    <xf numFmtId="3"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49" fontId="3" fillId="2"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49" fontId="3" fillId="2"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0" fillId="0" borderId="1" xfId="0" applyBorder="1"/>
    <xf numFmtId="3"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49" fontId="3" fillId="2"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3"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49" fontId="3" fillId="2"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0" fillId="0" borderId="1" xfId="0" applyBorder="1"/>
    <xf numFmtId="3"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49" fontId="3" fillId="2"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0" fillId="0" borderId="1" xfId="0" applyBorder="1"/>
    <xf numFmtId="3"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49" fontId="3" fillId="2"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0" fillId="0" borderId="0" xfId="0"/>
    <xf numFmtId="0" fontId="0" fillId="0" borderId="1" xfId="0" applyBorder="1"/>
    <xf numFmtId="3"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49" fontId="3" fillId="2"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68" fontId="3" fillId="0" borderId="1" xfId="3"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8" fontId="3" fillId="0" borderId="1" xfId="2" applyNumberFormat="1" applyFont="1" applyFill="1" applyBorder="1" applyAlignment="1">
      <alignment horizontal="center" vertical="center" wrapText="1"/>
    </xf>
    <xf numFmtId="9" fontId="3" fillId="0" borderId="1" xfId="0" applyNumberFormat="1" applyFont="1" applyBorder="1" applyAlignment="1">
      <alignment horizontal="center" vertical="center"/>
    </xf>
    <xf numFmtId="0" fontId="11" fillId="4" borderId="1" xfId="0" applyFont="1" applyFill="1" applyBorder="1" applyAlignment="1">
      <alignment horizontal="center" vertical="center" wrapText="1"/>
    </xf>
    <xf numFmtId="14" fontId="3" fillId="0" borderId="3" xfId="0" applyNumberFormat="1" applyFont="1" applyBorder="1" applyAlignment="1">
      <alignment horizontal="center" vertical="center" wrapText="1"/>
    </xf>
    <xf numFmtId="9" fontId="3" fillId="0" borderId="3"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3" fontId="3" fillId="0" borderId="3" xfId="0" applyNumberFormat="1" applyFont="1" applyBorder="1" applyAlignment="1">
      <alignment horizontal="center" vertical="center"/>
    </xf>
    <xf numFmtId="0" fontId="4" fillId="4" borderId="3" xfId="0" applyFont="1" applyFill="1" applyBorder="1" applyAlignment="1">
      <alignment horizontal="center" vertical="center" wrapText="1"/>
    </xf>
    <xf numFmtId="164" fontId="3" fillId="0" borderId="3" xfId="0" applyNumberFormat="1" applyFont="1" applyBorder="1" applyAlignment="1">
      <alignment horizontal="center" vertical="center"/>
    </xf>
    <xf numFmtId="168" fontId="3" fillId="0" borderId="3" xfId="2" applyNumberFormat="1" applyFont="1" applyFill="1" applyBorder="1" applyAlignment="1">
      <alignment horizontal="center" vertical="center" wrapText="1"/>
    </xf>
    <xf numFmtId="0" fontId="4" fillId="0" borderId="2" xfId="0" applyFont="1" applyBorder="1" applyAlignment="1">
      <alignment horizontal="center" vertical="center" wrapText="1"/>
    </xf>
    <xf numFmtId="3"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xf>
    <xf numFmtId="168" fontId="4" fillId="0" borderId="1" xfId="2" applyNumberFormat="1" applyFont="1" applyFill="1" applyBorder="1" applyAlignment="1">
      <alignment horizontal="center" vertical="center" wrapText="1"/>
    </xf>
    <xf numFmtId="0" fontId="3" fillId="0" borderId="6" xfId="0" applyFont="1" applyBorder="1" applyAlignment="1">
      <alignment horizontal="center" vertical="center" wrapText="1"/>
    </xf>
    <xf numFmtId="3" fontId="4" fillId="0" borderId="3" xfId="0" applyNumberFormat="1" applyFont="1" applyBorder="1" applyAlignment="1">
      <alignment horizontal="center" vertical="center"/>
    </xf>
    <xf numFmtId="14" fontId="4" fillId="0" borderId="3"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2" xfId="0" applyFont="1" applyFill="1" applyBorder="1" applyAlignment="1">
      <alignment horizontal="center" vertical="center" wrapText="1"/>
    </xf>
  </cellXfs>
  <cellStyles count="7">
    <cellStyle name="Hipervínculo" xfId="1" builtinId="8"/>
    <cellStyle name="Millares 2" xfId="4" xr:uid="{00000000-0005-0000-0000-000001000000}"/>
    <cellStyle name="Millares 2 2" xfId="6" xr:uid="{00000000-0005-0000-0000-000002000000}"/>
    <cellStyle name="Moneda" xfId="2" builtinId="4"/>
    <cellStyle name="Moneda 2" xfId="3" xr:uid="{00000000-0005-0000-0000-000004000000}"/>
    <cellStyle name="Moneda 3" xfId="5" xr:uid="{00000000-0005-0000-0000-000005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stefanía Sánchez Zapata" id="{8E2CAC9A-5D61-42A8-B633-E2774A3C918D}" userId="Estefanía Sánchez Zapata" providerId="None"/>
  <person displayName="estefania sanchez zapata" id="{21BBD6AC-702A-4B9D-9E19-523E04592D2F}" userId="S::esanchez@adeli1.onmicrosoft.com::649b1371-44b7-4ab5-844e-84d5ac8f8ec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9" dT="2021-11-25T22:06:05.94" personId="{8E2CAC9A-5D61-42A8-B633-E2774A3C918D}" id="{B15154FD-BC54-43FD-BE9D-7F024470F6CC}">
    <text>Se desembolsa la suma de $1.661.702.671 por concepto de ANTICIPO</text>
  </threadedComment>
  <threadedComment ref="I26" dT="2021-11-25T13:55:31.96" personId="{8E2CAC9A-5D61-42A8-B633-E2774A3C918D}" id="{0D8974F0-AD8E-4861-9DD9-0C0DFF5678AF}">
    <text>Adición N°1 en valor: $283.822.200</text>
  </threadedComment>
  <threadedComment ref="J28" dT="2021-11-29T19:37:37.39" personId="{8E2CAC9A-5D61-42A8-B633-E2774A3C918D}" id="{0C6ABC57-1F40-478A-93B0-3AAB0B6E4C81}">
    <text>Se desembolsa la suma de $599.058.366 por concepto de ANTICIPO</text>
  </threadedComment>
  <threadedComment ref="I29" dT="2021-11-29T14:25:03.41" personId="{8E2CAC9A-5D61-42A8-B633-E2774A3C918D}" id="{507FE11F-4D6C-4E8C-B609-2662E0770F50}">
    <text>Adición N° 1 en valor y tiempo: $104.447.348 - 15 días (desde el 11/08/2021 hasta el 25/08/2021)</text>
  </threadedComment>
  <threadedComment ref="I31" dT="2021-11-29T14:22:25.98" personId="{8E2CAC9A-5D61-42A8-B633-E2774A3C918D}" id="{47CA406C-06F5-4265-841D-3CC877887C4D}">
    <text>Adición N°1 en valor y tiempo: $31.781.100 - 1 mes (desde el  12/07/2021 hasta el 11/08/2021)</text>
  </threadedComment>
  <threadedComment ref="J33" dT="2021-11-29T19:50:48.14" personId="{8E2CAC9A-5D61-42A8-B633-E2774A3C918D}" id="{9E161F49-C4B5-47BB-90DD-5756A340CE8F}">
    <text>Se desembolsa la suma de $431.693.755 por concepto de ANTICIPO</text>
  </threadedComment>
  <threadedComment ref="I34" dT="2021-11-29T19:51:14.95" personId="{8E2CAC9A-5D61-42A8-B633-E2774A3C918D}" id="{ABFE1DEC-1B78-4000-8A77-8BD49A55DB97}">
    <text>Adición N°1 en valor y tiempo: $21.571.194 - 31 diás: Desde el  26/10/2021 hasta el 25/11/2021</text>
  </threadedComment>
  <threadedComment ref="J39" dT="2021-11-25T16:40:34.89" personId="{8E2CAC9A-5D61-42A8-B633-E2774A3C918D}" id="{85ACA56F-6B9E-4E1E-A9DF-CDF3F78E9AC0}">
    <text>Se desembolsa la suma de $421.564.517 por concepto de ANTICIPO del 30%</text>
  </threadedComment>
  <threadedComment ref="I41" dT="2022-01-11T23:04:22.32" personId="{8E2CAC9A-5D61-42A8-B633-E2774A3C918D}" id="{36D3FB8D-6B35-48E9-B07F-17DCD36FEE44}">
    <text>Adición N° 1 en valor: Se diciona la suma de $1.172.391.995</text>
  </threadedComment>
  <threadedComment ref="J41" dT="2021-11-25T12:56:45.70" personId="{8E2CAC9A-5D61-42A8-B633-E2774A3C918D}" id="{B9CBE406-5B33-45C9-B9D3-551A3114D022}">
    <text>Se desembolsa la suma de $3.957.061.887 por concepto de ANTICIPO</text>
  </threadedComment>
  <threadedComment ref="J42" dT="2021-11-25T17:05:53.07" personId="{8E2CAC9A-5D61-42A8-B633-E2774A3C918D}" id="{D3435B45-F063-49BD-A93C-858559A851DE}">
    <text>Se desembolsa la suma de $3.957.061.887 por concepto de ANTICIPO</text>
  </threadedComment>
  <threadedComment ref="J55" dT="2021-11-29T19:28:11.20" personId="{8E2CAC9A-5D61-42A8-B633-E2774A3C918D}" id="{7B263C66-59E0-4C1E-96D3-77973DDAF67D}">
    <text>Se desembolsa la suma de $1.216.422.991 por concepto de ANTICIPO</text>
  </threadedComment>
  <threadedComment ref="I59" dT="2022-02-03T01:16:44.87" personId="{8E2CAC9A-5D61-42A8-B633-E2774A3C918D}" id="{93C4B23B-9D23-4DB9-A66B-A135619CDB09}">
    <text>Adición N° 1 en valor $29.012.200</text>
  </threadedComment>
  <threadedComment ref="J60" dT="2021-11-25T21:22:21.82" personId="{8E2CAC9A-5D61-42A8-B633-E2774A3C918D}" id="{323FB75A-0E34-4719-9EE2-A2BE2F0C2A7B}">
    <text>Se desembolsa la suma de $2.120.337.436 por concepto de ANTICIPO</text>
  </threadedComment>
  <threadedComment ref="G68" dT="2022-02-16T19:04:54.16" personId="{8E2CAC9A-5D61-42A8-B633-E2774A3C918D}" id="{2C540CE9-6E8C-4B5F-846C-2C70BD6AC26D}">
    <text>Adición N° 1 en tiempo: 15 días calendario (Del 11/02/2022 al 25/02/2022)</text>
  </threadedComment>
  <threadedComment ref="J72" dT="2021-12-02T21:02:53.44" personId="{8E2CAC9A-5D61-42A8-B633-E2774A3C918D}" id="{924FE7DB-EBFF-474F-BF51-5BC39F8410AF}">
    <text>Se desembolsa la suma de $17.494.000 
por concepto de ANTICIPO</text>
  </threadedComment>
  <threadedComment ref="G75" dT="2022-01-12T13:09:25.93" personId="{8E2CAC9A-5D61-42A8-B633-E2774A3C918D}" id="{20933778-C92C-4819-852B-F436244CDB56}">
    <text>Adición en N° 1 en tiempo: 2 meses (desde el 01/01/2022 hasta el 28/02/2022)</text>
  </threadedComment>
  <threadedComment ref="G76" dT="2022-01-12T12:29:15.10" personId="{8E2CAC9A-5D61-42A8-B633-E2774A3C918D}" id="{06C0E513-8A18-4875-B4E3-28965A9B2F39}">
    <text>Adición N° 1 en tiempo: 45 días calendario. Desde el 01/01/2022 hasta el 14/02/2022.</text>
  </threadedComment>
  <threadedComment ref="G76" dT="2022-02-24T21:34:16.34" personId="{8E2CAC9A-5D61-42A8-B633-E2774A3C918D}" id="{39DF7946-F9E5-49BA-ADF0-25AC53EF470F}" parentId="{06C0E513-8A18-4875-B4E3-28965A9B2F39}">
    <text>Adición N° 2 en tiempo: 2 meses. Desde el 15/02/2022 hasta el 14/02/2022</text>
  </threadedComment>
  <threadedComment ref="G84" dT="2022-03-17T16:10:19.80" personId="{8E2CAC9A-5D61-42A8-B633-E2774A3C918D}" id="{90EF2054-9DDB-4D31-B198-DEA7C2050FED}">
    <text>Adición N° 1 en tiempo: 20 días calendario (desde el 02/03/2022 hasta el 21/03/2022)</text>
  </threadedComment>
  <threadedComment ref="H84" dT="2022-02-03T00:53:14.73" personId="{8E2CAC9A-5D61-42A8-B633-E2774A3C918D}" id="{3FA8014F-5DD0-400B-A0C5-1A67368E4BA4}">
    <text>Se desembolso pago por Anticipo de $140.280.446</text>
  </threadedComment>
  <threadedComment ref="I84" dT="2022-03-31T20:26:41.84" personId="{21BBD6AC-702A-4B9D-9E19-523E04592D2F}" id="{B89FBBAB-C1D2-4CFA-9C7E-CA8B1DA806CD}">
    <text>Adición N° 2 en valor: $167.591.154</text>
  </threadedComment>
  <threadedComment ref="I84" dT="2022-03-31T20:28:03.59" personId="{21BBD6AC-702A-4B9D-9E19-523E04592D2F}" id="{5272E806-D436-47AD-A610-6AC71ABE3BA0}" parentId="{B89FBBAB-C1D2-4CFA-9C7E-CA8B1DA806CD}">
    <text>Adición N° 3 en valor y tiempo: $8.757.396 - 9 días (228/03/2022 hasta 31/03/2022)</text>
  </threadedComment>
  <threadedComment ref="I85" dT="2022-03-31T20:43:58.74" personId="{21BBD6AC-702A-4B9D-9E19-523E04592D2F}" id="{8DF6D35A-23A9-40A3-8994-5EC810952979}">
    <text>Adición N° 1 en valor y tiempo: $11.447.800 - 15 días (01/04/2022 hasta 15/04/2022)</text>
  </threadedComment>
  <threadedComment ref="J86" dT="2022-04-01T21:27:31.66" personId="{21BBD6AC-702A-4B9D-9E19-523E04592D2F}" id="{5C1B1787-4748-4F27-84EB-E3679EC6B00C}">
    <text>Se desembolsa $183.157.775 por concepto de ANTICIPO</text>
  </threadedComment>
  <threadedComment ref="J87" dT="2022-04-01T21:26:46.47" personId="{21BBD6AC-702A-4B9D-9E19-523E04592D2F}" id="{8556742A-B63E-4CC7-BFA6-8E3DFB20AB52}">
    <text>Se desembolsa $3.397.529.419 por concepto de ANTICIPO</text>
  </threadedComment>
  <threadedComment ref="J89" dT="2022-02-03T13:50:45.88" personId="{8E2CAC9A-5D61-42A8-B633-E2774A3C918D}" id="{F9D2F909-9CAC-423F-ABD9-6470A0C3DE8C}">
    <text>Se desembolsa el valor de $171.722.495 por concepto de ANTICIPO</text>
  </threadedComment>
  <threadedComment ref="J90" dT="2022-02-03T14:20:02.54" personId="{8E2CAC9A-5D61-42A8-B633-E2774A3C918D}" id="{B7313102-4011-42CE-813E-D8F2B0CA2A5E}">
    <text>Se desembolsa el valor de $248.064.782 por concepto de ANTICIPO</text>
  </threadedComment>
  <threadedComment ref="J91" dT="2022-04-01T17:23:58.43" personId="{21BBD6AC-702A-4B9D-9E19-523E04592D2F}" id="{1D14C256-9E47-46D2-AFA5-AD4DE4CDEA74}">
    <text>Se desembolsa por concepto de pago anticipado la suma de $1.138.863.209.</text>
  </threadedComment>
  <threadedComment ref="J92" dT="2022-04-01T17:22:57.38" personId="{21BBD6AC-702A-4B9D-9E19-523E04592D2F}" id="{D6D100EB-5938-4586-A6FC-E225C954682C}">
    <text>Se desembolsa la suma de $225.719.999,68 por concepto de ANTICIPO</text>
  </threadedComment>
  <threadedComment ref="G93" dT="2022-04-21T16:23:48.12" personId="{21BBD6AC-702A-4B9D-9E19-523E04592D2F}" id="{2634D4DD-5A86-4F76-A346-1256C1C0B7FB}">
    <text>ADICIÓN N° 1 en tiempo: 2 meses (29/03/2022 hasta 28/05/2022)</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ontratos.gov.co/consultas/detalleProceso.do?numConstancia=21-4-11798501" TargetMode="External"/><Relationship Id="rId13" Type="http://schemas.openxmlformats.org/officeDocument/2006/relationships/printerSettings" Target="../printerSettings/printerSettings1.bin"/><Relationship Id="rId3" Type="http://schemas.openxmlformats.org/officeDocument/2006/relationships/hyperlink" Target="https://www.contratos.gov.co/consultas/detalleProceso.do?numConstancia=21-4-11549302" TargetMode="External"/><Relationship Id="rId7" Type="http://schemas.openxmlformats.org/officeDocument/2006/relationships/hyperlink" Target="https://www.contratos.gov.co/consultas/detalleProceso.do?numConstancia=21-4-11627511" TargetMode="External"/><Relationship Id="rId12" Type="http://schemas.openxmlformats.org/officeDocument/2006/relationships/hyperlink" Target="https://www.contratos.gov.co/consultas/detalleProceso.do?numConstancia=21-4-12061199" TargetMode="External"/><Relationship Id="rId2" Type="http://schemas.openxmlformats.org/officeDocument/2006/relationships/hyperlink" Target="https://www.contratos.gov.co/consultas/detalleProceso.do?numConstancia=21-4-11522269" TargetMode="External"/><Relationship Id="rId16" Type="http://schemas.microsoft.com/office/2017/10/relationships/threadedComment" Target="../threadedComments/threadedComment1.xml"/><Relationship Id="rId1" Type="http://schemas.openxmlformats.org/officeDocument/2006/relationships/hyperlink" Target="https://www.contratos.gov.co/consultas/detalleProceso.do?numConstancia=21-4-1152169" TargetMode="External"/><Relationship Id="rId6" Type="http://schemas.openxmlformats.org/officeDocument/2006/relationships/hyperlink" Target="https://www.contratos.gov.co/consultas/detalleProceso.do?numConstancia=21-4-11627725" TargetMode="External"/><Relationship Id="rId11" Type="http://schemas.openxmlformats.org/officeDocument/2006/relationships/hyperlink" Target="https://www.contratos.gov.co/consultas/detalleProceso.do?numConstancia=21-4-11522269" TargetMode="External"/><Relationship Id="rId5" Type="http://schemas.openxmlformats.org/officeDocument/2006/relationships/hyperlink" Target="https://www.contratos.gov.co/consultas/detalleProceso.do?numConstancia=21-4-11623605" TargetMode="External"/><Relationship Id="rId15" Type="http://schemas.openxmlformats.org/officeDocument/2006/relationships/comments" Target="../comments1.xml"/><Relationship Id="rId10" Type="http://schemas.openxmlformats.org/officeDocument/2006/relationships/hyperlink" Target="https://www.contratos.gov.co/consultas/detalleProceso.do?numConstancia=21-4-11696646" TargetMode="External"/><Relationship Id="rId4" Type="http://schemas.openxmlformats.org/officeDocument/2006/relationships/hyperlink" Target="https://www.contratos.gov.co/consultas/detalleProceso.do?numConstancia=21-4-11556712" TargetMode="External"/><Relationship Id="rId9" Type="http://schemas.openxmlformats.org/officeDocument/2006/relationships/hyperlink" Target="https://www.contratos.gov.co/consultas/detalleProceso.do?numConstancia=21-4-11790485"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3"/>
  <sheetViews>
    <sheetView tabSelected="1" topLeftCell="A55" workbookViewId="0">
      <pane xSplit="1" topLeftCell="B1" activePane="topRight" state="frozen"/>
      <selection activeCell="A50" sqref="A50"/>
      <selection pane="topRight" activeCell="B91" sqref="B91"/>
    </sheetView>
  </sheetViews>
  <sheetFormatPr baseColWidth="10" defaultRowHeight="15"/>
  <cols>
    <col min="2" max="2" width="41.7109375" customWidth="1"/>
    <col min="3" max="3" width="14.85546875" customWidth="1"/>
    <col min="4" max="4" width="13.140625" customWidth="1"/>
    <col min="7" max="7" width="14.7109375" customWidth="1"/>
    <col min="8" max="8" width="13.85546875" customWidth="1"/>
    <col min="9" max="9" width="13.42578125" customWidth="1"/>
    <col min="10" max="10" width="12.85546875" customWidth="1"/>
    <col min="11" max="11" width="13.5703125" customWidth="1"/>
    <col min="12" max="12" width="15" customWidth="1"/>
    <col min="13" max="13" width="15" style="49" customWidth="1"/>
    <col min="14" max="14" width="67" customWidth="1"/>
  </cols>
  <sheetData>
    <row r="1" spans="1:14" ht="36">
      <c r="A1" s="1" t="s">
        <v>0</v>
      </c>
      <c r="B1" s="2" t="s">
        <v>1</v>
      </c>
      <c r="C1" s="2" t="s">
        <v>2</v>
      </c>
      <c r="D1" s="2" t="s">
        <v>3</v>
      </c>
      <c r="E1" s="3" t="s">
        <v>4</v>
      </c>
      <c r="F1" s="2" t="s">
        <v>5</v>
      </c>
      <c r="G1" s="4" t="s">
        <v>6</v>
      </c>
      <c r="H1" s="5" t="s">
        <v>7</v>
      </c>
      <c r="I1" s="6" t="s">
        <v>8</v>
      </c>
      <c r="J1" s="5" t="s">
        <v>9</v>
      </c>
      <c r="K1" s="1" t="s">
        <v>10</v>
      </c>
      <c r="L1" s="1" t="s">
        <v>11</v>
      </c>
      <c r="M1" s="1" t="s">
        <v>25</v>
      </c>
      <c r="N1" s="1" t="s">
        <v>24</v>
      </c>
    </row>
    <row r="2" spans="1:14" ht="33.75">
      <c r="A2" s="10" t="s">
        <v>27</v>
      </c>
      <c r="B2" s="11" t="s">
        <v>28</v>
      </c>
      <c r="C2" s="12">
        <v>1039454323</v>
      </c>
      <c r="D2" s="13" t="s">
        <v>12</v>
      </c>
      <c r="E2" s="14">
        <v>44204</v>
      </c>
      <c r="F2" s="15" t="s">
        <v>13</v>
      </c>
      <c r="G2" s="14">
        <v>44255</v>
      </c>
      <c r="H2" s="16">
        <v>11505200</v>
      </c>
      <c r="I2" s="17"/>
      <c r="J2" s="18">
        <f>5341700+6163500</f>
        <v>11505200</v>
      </c>
      <c r="K2" s="24">
        <f>H2-J2</f>
        <v>0</v>
      </c>
      <c r="L2" s="19">
        <f>(J2*100%)/H2</f>
        <v>1</v>
      </c>
      <c r="M2" s="48">
        <f>J2*L2/H2</f>
        <v>1</v>
      </c>
      <c r="N2" s="50" t="s">
        <v>83</v>
      </c>
    </row>
    <row r="3" spans="1:14" ht="56.25">
      <c r="A3" s="10" t="s">
        <v>29</v>
      </c>
      <c r="B3" s="20" t="s">
        <v>30</v>
      </c>
      <c r="C3" s="21">
        <v>32240117</v>
      </c>
      <c r="D3" s="22" t="s">
        <v>23</v>
      </c>
      <c r="E3" s="14">
        <v>44204</v>
      </c>
      <c r="F3" s="15" t="s">
        <v>20</v>
      </c>
      <c r="G3" s="23">
        <v>44560</v>
      </c>
      <c r="H3" s="24">
        <v>79447316</v>
      </c>
      <c r="I3" s="25"/>
      <c r="J3" s="18">
        <f>5799300+6695000+6695000+6695000+6695000+4463333</f>
        <v>37042633</v>
      </c>
      <c r="K3" s="24">
        <f t="shared" ref="K3" si="0">H3-J3</f>
        <v>42404683</v>
      </c>
      <c r="L3" s="19">
        <f t="shared" ref="L3" si="1">(J3*100%)/H3</f>
        <v>0.46625405193046421</v>
      </c>
      <c r="M3" s="48">
        <f t="shared" ref="M3:M21" si="2">J3*L3/H3</f>
        <v>0.21739284094157602</v>
      </c>
      <c r="N3" s="50" t="s">
        <v>85</v>
      </c>
    </row>
    <row r="4" spans="1:14" ht="45">
      <c r="A4" s="10" t="s">
        <v>31</v>
      </c>
      <c r="B4" s="27" t="s">
        <v>21</v>
      </c>
      <c r="C4" s="21">
        <v>94477864</v>
      </c>
      <c r="D4" s="22" t="s">
        <v>22</v>
      </c>
      <c r="E4" s="14">
        <v>44211</v>
      </c>
      <c r="F4" s="15" t="s">
        <v>14</v>
      </c>
      <c r="G4" s="14">
        <v>44559</v>
      </c>
      <c r="H4" s="24">
        <v>44880524</v>
      </c>
      <c r="I4" s="28"/>
      <c r="J4" s="18">
        <f>1826524+3914000+3914000+3914000+3914000+3914000+3914000+3914000+3914000+3914000+3914000+3914000</f>
        <v>44880524</v>
      </c>
      <c r="K4" s="24">
        <f t="shared" ref="K4:K14" si="3">H4-J4</f>
        <v>0</v>
      </c>
      <c r="L4" s="19">
        <f t="shared" ref="L4" si="4">(J4*100%)/H4</f>
        <v>1</v>
      </c>
      <c r="M4" s="48">
        <f t="shared" si="2"/>
        <v>1</v>
      </c>
      <c r="N4" s="50" t="s">
        <v>86</v>
      </c>
    </row>
    <row r="5" spans="1:14" ht="56.25">
      <c r="A5" s="10" t="s">
        <v>32</v>
      </c>
      <c r="B5" s="29" t="s">
        <v>26</v>
      </c>
      <c r="C5" s="30">
        <v>1040735895</v>
      </c>
      <c r="D5" s="31" t="s">
        <v>33</v>
      </c>
      <c r="E5" s="14">
        <v>44214</v>
      </c>
      <c r="F5" s="33" t="s">
        <v>34</v>
      </c>
      <c r="G5" s="34">
        <v>44272</v>
      </c>
      <c r="H5" s="35">
        <v>8400000</v>
      </c>
      <c r="I5" s="36"/>
      <c r="J5" s="18">
        <v>8400000</v>
      </c>
      <c r="K5" s="26">
        <f t="shared" si="3"/>
        <v>0</v>
      </c>
      <c r="L5" s="38">
        <f>(J5*100%)/H5</f>
        <v>1</v>
      </c>
      <c r="M5" s="48">
        <f t="shared" si="2"/>
        <v>1</v>
      </c>
      <c r="N5" s="50" t="s">
        <v>87</v>
      </c>
    </row>
    <row r="6" spans="1:14" ht="56.25">
      <c r="A6" s="10" t="s">
        <v>35</v>
      </c>
      <c r="B6" s="29" t="s">
        <v>36</v>
      </c>
      <c r="C6" s="30">
        <v>1036612450</v>
      </c>
      <c r="D6" s="31" t="s">
        <v>37</v>
      </c>
      <c r="E6" s="14">
        <v>44228</v>
      </c>
      <c r="F6" s="33" t="s">
        <v>34</v>
      </c>
      <c r="G6" s="34">
        <v>44559</v>
      </c>
      <c r="H6" s="35">
        <v>50985000</v>
      </c>
      <c r="I6" s="36"/>
      <c r="J6" s="37">
        <f>3353500</f>
        <v>3353500</v>
      </c>
      <c r="K6" s="26">
        <f t="shared" si="3"/>
        <v>47631500</v>
      </c>
      <c r="L6" s="38">
        <f t="shared" ref="L6:L9" si="5">(J6*100%)/H6</f>
        <v>6.5774247327645391E-2</v>
      </c>
      <c r="M6" s="48">
        <f t="shared" si="2"/>
        <v>4.3262516115182663E-3</v>
      </c>
      <c r="N6" s="50" t="s">
        <v>88</v>
      </c>
    </row>
    <row r="7" spans="1:14" ht="67.5">
      <c r="A7" s="10" t="s">
        <v>38</v>
      </c>
      <c r="B7" s="29" t="s">
        <v>39</v>
      </c>
      <c r="C7" s="30" t="s">
        <v>18</v>
      </c>
      <c r="D7" s="31" t="s">
        <v>19</v>
      </c>
      <c r="E7" s="14">
        <v>44228</v>
      </c>
      <c r="F7" s="33" t="s">
        <v>40</v>
      </c>
      <c r="G7" s="34">
        <v>44559</v>
      </c>
      <c r="H7" s="35">
        <v>26000000</v>
      </c>
      <c r="I7" s="36"/>
      <c r="J7" s="37">
        <f>2363636+2363636+2363636+2363636+2363636+2363636+2363636+2363636+2363636+2363636+2363640</f>
        <v>26000000</v>
      </c>
      <c r="K7" s="26">
        <f t="shared" si="3"/>
        <v>0</v>
      </c>
      <c r="L7" s="38">
        <f t="shared" si="5"/>
        <v>1</v>
      </c>
      <c r="M7" s="48">
        <f t="shared" si="2"/>
        <v>1</v>
      </c>
      <c r="N7" s="50" t="s">
        <v>89</v>
      </c>
    </row>
    <row r="8" spans="1:14" ht="78.75">
      <c r="A8" s="10" t="s">
        <v>41</v>
      </c>
      <c r="B8" s="29" t="s">
        <v>42</v>
      </c>
      <c r="C8" s="30">
        <v>1036599812</v>
      </c>
      <c r="D8" s="31" t="s">
        <v>43</v>
      </c>
      <c r="E8" s="32">
        <v>44228</v>
      </c>
      <c r="F8" s="15" t="s">
        <v>13</v>
      </c>
      <c r="G8" s="34">
        <v>44559</v>
      </c>
      <c r="H8" s="35">
        <v>25300000</v>
      </c>
      <c r="I8" s="36"/>
      <c r="J8" s="37">
        <f>2300000+2300000+2300000+2300000+2300000+2300000+2300000+2300000+2300000+2300000+2300000</f>
        <v>25300000</v>
      </c>
      <c r="K8" s="26">
        <f>H8-J8</f>
        <v>0</v>
      </c>
      <c r="L8" s="38">
        <f>(J8*100%)/H8</f>
        <v>1</v>
      </c>
      <c r="M8" s="48">
        <f t="shared" si="2"/>
        <v>1</v>
      </c>
      <c r="N8" s="50" t="s">
        <v>90</v>
      </c>
    </row>
    <row r="9" spans="1:14" ht="67.5">
      <c r="A9" s="10" t="s">
        <v>44</v>
      </c>
      <c r="B9" s="27" t="s">
        <v>45</v>
      </c>
      <c r="C9" s="21" t="s">
        <v>17</v>
      </c>
      <c r="D9" s="31" t="s">
        <v>313</v>
      </c>
      <c r="E9" s="23">
        <v>44229</v>
      </c>
      <c r="F9" s="33" t="s">
        <v>40</v>
      </c>
      <c r="G9" s="34">
        <v>44559</v>
      </c>
      <c r="H9" s="35">
        <v>82953000</v>
      </c>
      <c r="I9" s="39"/>
      <c r="J9" s="37">
        <f>6273400+7667960+7667960+7667960+7667960+7667960+7667960+7667960+7667960+7667960+7667960</f>
        <v>82953000</v>
      </c>
      <c r="K9" s="26">
        <f t="shared" ref="K9" si="6">H9-J9</f>
        <v>0</v>
      </c>
      <c r="L9" s="38">
        <f t="shared" si="5"/>
        <v>1</v>
      </c>
      <c r="M9" s="48">
        <f t="shared" si="2"/>
        <v>1</v>
      </c>
      <c r="N9" s="50" t="s">
        <v>91</v>
      </c>
    </row>
    <row r="10" spans="1:14" ht="67.5">
      <c r="A10" s="10" t="s">
        <v>46</v>
      </c>
      <c r="B10" s="29" t="s">
        <v>47</v>
      </c>
      <c r="C10" s="30" t="s">
        <v>48</v>
      </c>
      <c r="D10" s="31" t="s">
        <v>80</v>
      </c>
      <c r="E10" s="23">
        <v>44242</v>
      </c>
      <c r="F10" s="15" t="s">
        <v>49</v>
      </c>
      <c r="G10" s="40">
        <v>44361</v>
      </c>
      <c r="H10" s="35">
        <v>688410240</v>
      </c>
      <c r="I10" s="52">
        <v>40222000</v>
      </c>
      <c r="J10" s="37">
        <f>172102560+344205120</f>
        <v>516307680</v>
      </c>
      <c r="K10" s="26">
        <f t="shared" si="3"/>
        <v>172102560</v>
      </c>
      <c r="L10" s="38">
        <f>(J10*100%)/H10</f>
        <v>0.75</v>
      </c>
      <c r="M10" s="48">
        <f>(J10*L10)/(H10+I10)</f>
        <v>0.53144884173667639</v>
      </c>
      <c r="N10" s="50" t="s">
        <v>92</v>
      </c>
    </row>
    <row r="11" spans="1:14" ht="112.5">
      <c r="A11" s="10" t="s">
        <v>50</v>
      </c>
      <c r="B11" s="29" t="s">
        <v>51</v>
      </c>
      <c r="C11" s="30">
        <v>1037596455</v>
      </c>
      <c r="D11" s="31" t="s">
        <v>52</v>
      </c>
      <c r="E11" s="32">
        <v>44236</v>
      </c>
      <c r="F11" s="15" t="s">
        <v>53</v>
      </c>
      <c r="G11" s="34">
        <v>44416</v>
      </c>
      <c r="H11" s="35">
        <v>35400000</v>
      </c>
      <c r="I11" s="39"/>
      <c r="J11" s="37">
        <f>5900000+5900000+5900000+5900000+5900000+5900000</f>
        <v>35400000</v>
      </c>
      <c r="K11" s="26">
        <f t="shared" si="3"/>
        <v>0</v>
      </c>
      <c r="L11" s="38">
        <f t="shared" ref="L11:L12" si="7">(J11*100%)/H11</f>
        <v>1</v>
      </c>
      <c r="M11" s="48">
        <f t="shared" si="2"/>
        <v>1</v>
      </c>
      <c r="N11" s="50" t="s">
        <v>93</v>
      </c>
    </row>
    <row r="12" spans="1:14" ht="112.5">
      <c r="A12" s="10" t="s">
        <v>54</v>
      </c>
      <c r="B12" s="29" t="s">
        <v>55</v>
      </c>
      <c r="C12" s="30">
        <v>98464303</v>
      </c>
      <c r="D12" s="31" t="s">
        <v>56</v>
      </c>
      <c r="E12" s="32">
        <v>44236</v>
      </c>
      <c r="F12" s="15" t="s">
        <v>53</v>
      </c>
      <c r="G12" s="34">
        <v>44416</v>
      </c>
      <c r="H12" s="35">
        <v>43800000</v>
      </c>
      <c r="I12" s="39"/>
      <c r="J12" s="37">
        <f>7300000+7300000+7300000+7300000+7300000+7300000</f>
        <v>43800000</v>
      </c>
      <c r="K12" s="26">
        <f t="shared" si="3"/>
        <v>0</v>
      </c>
      <c r="L12" s="38">
        <f t="shared" si="7"/>
        <v>1</v>
      </c>
      <c r="M12" s="48">
        <f t="shared" si="2"/>
        <v>1</v>
      </c>
      <c r="N12" s="50" t="s">
        <v>94</v>
      </c>
    </row>
    <row r="13" spans="1:14" ht="112.5">
      <c r="A13" s="10" t="s">
        <v>57</v>
      </c>
      <c r="B13" s="29" t="s">
        <v>15</v>
      </c>
      <c r="C13" s="30">
        <v>71273344</v>
      </c>
      <c r="D13" s="31" t="s">
        <v>58</v>
      </c>
      <c r="E13" s="32">
        <v>44236</v>
      </c>
      <c r="F13" s="15" t="s">
        <v>53</v>
      </c>
      <c r="G13" s="34">
        <v>44416</v>
      </c>
      <c r="H13" s="35">
        <v>10920000</v>
      </c>
      <c r="I13" s="39"/>
      <c r="J13" s="37">
        <f>1820000+1820000+1820000+1820000+1820000+1820000</f>
        <v>10920000</v>
      </c>
      <c r="K13" s="26">
        <f t="shared" si="3"/>
        <v>0</v>
      </c>
      <c r="L13" s="38">
        <f>(J13*100%)/H13</f>
        <v>1</v>
      </c>
      <c r="M13" s="48">
        <f t="shared" si="2"/>
        <v>1</v>
      </c>
      <c r="N13" s="50" t="s">
        <v>95</v>
      </c>
    </row>
    <row r="14" spans="1:14" ht="112.5">
      <c r="A14" s="10" t="s">
        <v>59</v>
      </c>
      <c r="B14" s="29" t="s">
        <v>60</v>
      </c>
      <c r="C14" s="30">
        <v>43446813</v>
      </c>
      <c r="D14" s="31" t="s">
        <v>61</v>
      </c>
      <c r="E14" s="32">
        <v>44236</v>
      </c>
      <c r="F14" s="15" t="s">
        <v>53</v>
      </c>
      <c r="G14" s="34">
        <v>44416</v>
      </c>
      <c r="H14" s="35">
        <v>37080000</v>
      </c>
      <c r="I14" s="39"/>
      <c r="J14" s="37">
        <f>6180000+6180000+6180000+6180000+6180000+6180000</f>
        <v>37080000</v>
      </c>
      <c r="K14" s="26">
        <f t="shared" si="3"/>
        <v>0</v>
      </c>
      <c r="L14" s="38">
        <f t="shared" ref="L14:L15" si="8">(J14*100%)/H14</f>
        <v>1</v>
      </c>
      <c r="M14" s="48">
        <f t="shared" si="2"/>
        <v>1</v>
      </c>
      <c r="N14" s="50" t="s">
        <v>96</v>
      </c>
    </row>
    <row r="15" spans="1:14" ht="72">
      <c r="A15" s="41" t="s">
        <v>62</v>
      </c>
      <c r="B15" s="42" t="s">
        <v>63</v>
      </c>
      <c r="C15" s="8" t="s">
        <v>64</v>
      </c>
      <c r="D15" s="43" t="s">
        <v>65</v>
      </c>
      <c r="E15" s="44">
        <v>44244</v>
      </c>
      <c r="F15" s="7" t="s">
        <v>49</v>
      </c>
      <c r="G15" s="44">
        <v>44332</v>
      </c>
      <c r="H15" s="45">
        <v>103993865</v>
      </c>
      <c r="I15" s="9"/>
      <c r="J15" s="53">
        <v>103993865</v>
      </c>
      <c r="K15" s="45">
        <f t="shared" ref="K15:K19" si="9">H15-J15</f>
        <v>0</v>
      </c>
      <c r="L15" s="38">
        <f t="shared" si="8"/>
        <v>1</v>
      </c>
      <c r="M15" s="48">
        <v>1</v>
      </c>
      <c r="N15" s="50" t="s">
        <v>101</v>
      </c>
    </row>
    <row r="16" spans="1:14" ht="33.75">
      <c r="A16" s="10" t="s">
        <v>66</v>
      </c>
      <c r="B16" s="29" t="s">
        <v>67</v>
      </c>
      <c r="C16" s="30">
        <v>71313737</v>
      </c>
      <c r="D16" s="31" t="s">
        <v>68</v>
      </c>
      <c r="E16" s="32">
        <v>44257</v>
      </c>
      <c r="F16" s="15" t="s">
        <v>13</v>
      </c>
      <c r="G16" s="34">
        <v>44561</v>
      </c>
      <c r="H16" s="35">
        <v>30000000</v>
      </c>
      <c r="I16" s="39"/>
      <c r="J16" s="37">
        <f>3000000+3000000+3000000</f>
        <v>9000000</v>
      </c>
      <c r="K16" s="26">
        <f t="shared" si="9"/>
        <v>21000000</v>
      </c>
      <c r="L16" s="38">
        <f>(J16*100%)/H16</f>
        <v>0.3</v>
      </c>
      <c r="M16" s="48">
        <f t="shared" si="2"/>
        <v>0.09</v>
      </c>
      <c r="N16" s="50" t="s">
        <v>97</v>
      </c>
    </row>
    <row r="17" spans="1:14" ht="45">
      <c r="A17" s="10" t="s">
        <v>69</v>
      </c>
      <c r="B17" s="29" t="s">
        <v>70</v>
      </c>
      <c r="C17" s="30">
        <v>42789162</v>
      </c>
      <c r="D17" s="31" t="s">
        <v>71</v>
      </c>
      <c r="E17" s="32">
        <v>44258</v>
      </c>
      <c r="F17" s="15" t="s">
        <v>16</v>
      </c>
      <c r="G17" s="34">
        <v>44349</v>
      </c>
      <c r="H17" s="35">
        <v>6600000</v>
      </c>
      <c r="I17" s="39"/>
      <c r="J17" s="54">
        <v>6600000</v>
      </c>
      <c r="K17" s="35">
        <f t="shared" si="9"/>
        <v>0</v>
      </c>
      <c r="L17" s="38">
        <f t="shared" ref="L17:L21" si="10">(J17*100%)/H17</f>
        <v>1</v>
      </c>
      <c r="M17" s="48">
        <f t="shared" si="2"/>
        <v>1</v>
      </c>
      <c r="N17" s="50" t="s">
        <v>98</v>
      </c>
    </row>
    <row r="18" spans="1:14" ht="56.25">
      <c r="A18" s="10" t="s">
        <v>72</v>
      </c>
      <c r="B18" s="29" t="s">
        <v>73</v>
      </c>
      <c r="C18" s="30">
        <v>98610768</v>
      </c>
      <c r="D18" s="31" t="s">
        <v>74</v>
      </c>
      <c r="E18" s="32">
        <v>44267</v>
      </c>
      <c r="F18" s="15" t="s">
        <v>14</v>
      </c>
      <c r="G18" s="34">
        <v>44450</v>
      </c>
      <c r="H18" s="35">
        <v>24000000</v>
      </c>
      <c r="I18" s="39"/>
      <c r="J18" s="131">
        <f>2600000+4000000+4000000+4000000+4000000+4000000+1400000</f>
        <v>24000000</v>
      </c>
      <c r="K18" s="35">
        <f>H18-J18</f>
        <v>0</v>
      </c>
      <c r="L18" s="38">
        <f t="shared" si="10"/>
        <v>1</v>
      </c>
      <c r="M18" s="48">
        <f t="shared" si="2"/>
        <v>1</v>
      </c>
      <c r="N18" s="50" t="s">
        <v>84</v>
      </c>
    </row>
    <row r="19" spans="1:14" ht="60">
      <c r="A19" s="41" t="s">
        <v>75</v>
      </c>
      <c r="B19" s="42" t="s">
        <v>76</v>
      </c>
      <c r="C19" s="8" t="s">
        <v>77</v>
      </c>
      <c r="D19" s="43" t="s">
        <v>82</v>
      </c>
      <c r="E19" s="44">
        <v>44278</v>
      </c>
      <c r="F19" s="15" t="s">
        <v>20</v>
      </c>
      <c r="G19" s="44">
        <v>44445</v>
      </c>
      <c r="H19" s="45">
        <v>5539008904</v>
      </c>
      <c r="I19" s="46"/>
      <c r="J19" s="131">
        <f>552350062+1106815393+943621216+1680813309+1189857818</f>
        <v>5473457798</v>
      </c>
      <c r="K19" s="45">
        <f t="shared" si="9"/>
        <v>65551106</v>
      </c>
      <c r="L19" s="38">
        <f t="shared" si="10"/>
        <v>0.98816555323594768</v>
      </c>
      <c r="M19" s="48">
        <f t="shared" si="2"/>
        <v>0.97647116060210648</v>
      </c>
      <c r="N19" s="50" t="s">
        <v>99</v>
      </c>
    </row>
    <row r="20" spans="1:14" ht="84">
      <c r="A20" s="41" t="s">
        <v>78</v>
      </c>
      <c r="B20" s="47" t="s">
        <v>79</v>
      </c>
      <c r="C20" s="8">
        <v>98639809</v>
      </c>
      <c r="D20" s="43" t="s">
        <v>81</v>
      </c>
      <c r="E20" s="44">
        <v>44278</v>
      </c>
      <c r="F20" s="15" t="s">
        <v>20</v>
      </c>
      <c r="G20" s="44">
        <v>44461</v>
      </c>
      <c r="H20" s="45">
        <v>453497100</v>
      </c>
      <c r="I20" s="137">
        <v>75582850</v>
      </c>
      <c r="J20" s="131">
        <f>94478563+30000000+45582850+75582850+75582850+75582850+75582850</f>
        <v>472392813</v>
      </c>
      <c r="K20" s="45">
        <f>(H20+I20)-J20</f>
        <v>56687137</v>
      </c>
      <c r="L20" s="38">
        <f>J20/(H20+I20)</f>
        <v>0.89285714380217962</v>
      </c>
      <c r="M20" s="48">
        <f>(J20*L20)/(H20+I20)</f>
        <v>0.79719387923858598</v>
      </c>
      <c r="N20" s="50" t="s">
        <v>100</v>
      </c>
    </row>
    <row r="21" spans="1:14" ht="60">
      <c r="A21" s="41" t="s">
        <v>102</v>
      </c>
      <c r="B21" s="47" t="s">
        <v>26</v>
      </c>
      <c r="C21" s="8">
        <v>1040735895</v>
      </c>
      <c r="D21" s="43" t="s">
        <v>33</v>
      </c>
      <c r="E21" s="44">
        <v>44273</v>
      </c>
      <c r="F21" s="15" t="s">
        <v>34</v>
      </c>
      <c r="G21" s="44">
        <v>44559</v>
      </c>
      <c r="H21" s="45">
        <v>39480000</v>
      </c>
      <c r="I21" s="46"/>
      <c r="J21" s="131">
        <f>4200000+4200000+4200000+4200000+4200000+4200000+4200000+4200000+4200000+1680000</f>
        <v>39480000</v>
      </c>
      <c r="K21" s="35">
        <f>H21-J21</f>
        <v>0</v>
      </c>
      <c r="L21" s="38">
        <f t="shared" si="10"/>
        <v>1</v>
      </c>
      <c r="M21" s="48">
        <f t="shared" si="2"/>
        <v>1</v>
      </c>
      <c r="N21" s="50" t="s">
        <v>103</v>
      </c>
    </row>
    <row r="22" spans="1:14" ht="36">
      <c r="A22" s="51" t="s">
        <v>104</v>
      </c>
      <c r="B22" s="56" t="s">
        <v>105</v>
      </c>
      <c r="C22" s="55">
        <v>71586781</v>
      </c>
      <c r="D22" s="61" t="s">
        <v>106</v>
      </c>
      <c r="E22" s="58">
        <v>44291</v>
      </c>
      <c r="F22" s="15" t="s">
        <v>107</v>
      </c>
      <c r="G22" s="58">
        <v>44320</v>
      </c>
      <c r="H22" s="45">
        <v>15456788</v>
      </c>
      <c r="I22" s="60"/>
      <c r="J22" s="59">
        <v>15456788</v>
      </c>
      <c r="K22" s="45">
        <v>0</v>
      </c>
      <c r="L22" s="38">
        <v>1</v>
      </c>
      <c r="M22" s="48">
        <f>J22*L22/H22</f>
        <v>1</v>
      </c>
      <c r="N22" s="50" t="s">
        <v>162</v>
      </c>
    </row>
    <row r="23" spans="1:14" ht="96">
      <c r="A23" s="57" t="s">
        <v>108</v>
      </c>
      <c r="B23" s="56" t="s">
        <v>109</v>
      </c>
      <c r="C23" s="55">
        <v>43466559</v>
      </c>
      <c r="D23" s="61" t="s">
        <v>110</v>
      </c>
      <c r="E23" s="58">
        <v>44293</v>
      </c>
      <c r="F23" s="15" t="s">
        <v>20</v>
      </c>
      <c r="G23" s="58">
        <v>44545</v>
      </c>
      <c r="H23" s="45">
        <v>45650000</v>
      </c>
      <c r="I23" s="137">
        <v>2200000</v>
      </c>
      <c r="J23" s="131">
        <f>5500000+5500000+5500000+5500000+5500000+5500000+5500000+9350000</f>
        <v>47850000</v>
      </c>
      <c r="K23" s="133">
        <f>(H23+I23)-J23</f>
        <v>0</v>
      </c>
      <c r="L23" s="38">
        <f>(J23*100%)/(H23+I23)</f>
        <v>1</v>
      </c>
      <c r="M23" s="48">
        <f>(J23*L23)/(H23+I23)</f>
        <v>1</v>
      </c>
      <c r="N23" s="50" t="s">
        <v>163</v>
      </c>
    </row>
    <row r="24" spans="1:14" ht="60">
      <c r="A24" s="57" t="s">
        <v>111</v>
      </c>
      <c r="B24" s="56" t="s">
        <v>112</v>
      </c>
      <c r="C24" s="55">
        <v>71375899</v>
      </c>
      <c r="D24" s="61" t="s">
        <v>113</v>
      </c>
      <c r="E24" s="58">
        <v>44302</v>
      </c>
      <c r="F24" s="15" t="s">
        <v>34</v>
      </c>
      <c r="G24" s="58">
        <v>44561</v>
      </c>
      <c r="H24" s="45">
        <v>32553000</v>
      </c>
      <c r="I24" s="60"/>
      <c r="J24" s="131">
        <f>1913000+3830000+3830000+3830000+3830000+3830000+3830000+3830000+3830000</f>
        <v>32553000</v>
      </c>
      <c r="K24" s="133">
        <v>0</v>
      </c>
      <c r="L24" s="38">
        <f>(J24*100%)/H24</f>
        <v>1</v>
      </c>
      <c r="M24" s="48">
        <f>J24*L24/H24</f>
        <v>1</v>
      </c>
      <c r="N24" s="50" t="s">
        <v>164</v>
      </c>
    </row>
    <row r="25" spans="1:14" ht="84">
      <c r="A25" s="57" t="s">
        <v>114</v>
      </c>
      <c r="B25" s="56" t="s">
        <v>115</v>
      </c>
      <c r="C25" s="55" t="s">
        <v>116</v>
      </c>
      <c r="D25" s="61" t="s">
        <v>117</v>
      </c>
      <c r="E25" s="58">
        <v>44299</v>
      </c>
      <c r="F25" s="15" t="s">
        <v>40</v>
      </c>
      <c r="G25" s="62">
        <v>44561</v>
      </c>
      <c r="H25" s="45">
        <v>12194400</v>
      </c>
      <c r="I25" s="60"/>
      <c r="J25" s="131">
        <f>7038068+5156332</f>
        <v>12194400</v>
      </c>
      <c r="K25" s="133">
        <f>H25-J25</f>
        <v>0</v>
      </c>
      <c r="L25" s="38">
        <f>(J25*100%)/H25</f>
        <v>1</v>
      </c>
      <c r="M25" s="48">
        <f>J25*L25/H25</f>
        <v>1</v>
      </c>
      <c r="N25" s="50" t="s">
        <v>165</v>
      </c>
    </row>
    <row r="26" spans="1:14" ht="60">
      <c r="A26" s="65" t="s">
        <v>118</v>
      </c>
      <c r="B26" s="64" t="s">
        <v>119</v>
      </c>
      <c r="C26" s="63" t="s">
        <v>120</v>
      </c>
      <c r="D26" s="68" t="s">
        <v>121</v>
      </c>
      <c r="E26" s="67">
        <v>44305</v>
      </c>
      <c r="F26" s="15" t="s">
        <v>20</v>
      </c>
      <c r="G26" s="66">
        <v>44561</v>
      </c>
      <c r="H26" s="69">
        <v>901373529</v>
      </c>
      <c r="I26" s="138">
        <f>283822200</f>
        <v>283822200</v>
      </c>
      <c r="J26" s="131">
        <f>369915148+83998911+83998911</f>
        <v>537912970</v>
      </c>
      <c r="K26" s="45">
        <f>(H26+I26)-J26</f>
        <v>647282759</v>
      </c>
      <c r="L26" s="38">
        <f>(J26*100%)/(H26+I26)</f>
        <v>0.45386003074265213</v>
      </c>
      <c r="M26" s="48">
        <f>(J26*L26)/(H26+I26)</f>
        <v>0.20598892750572115</v>
      </c>
      <c r="N26" s="50" t="s">
        <v>166</v>
      </c>
    </row>
    <row r="27" spans="1:14" ht="36">
      <c r="A27" s="73" t="s">
        <v>122</v>
      </c>
      <c r="B27" s="72" t="s">
        <v>123</v>
      </c>
      <c r="C27" s="71" t="s">
        <v>124</v>
      </c>
      <c r="D27" s="76" t="s">
        <v>125</v>
      </c>
      <c r="E27" s="75">
        <v>44308</v>
      </c>
      <c r="F27" s="15" t="s">
        <v>20</v>
      </c>
      <c r="G27" s="74">
        <v>44398</v>
      </c>
      <c r="H27" s="77">
        <v>404600000</v>
      </c>
      <c r="I27" s="70"/>
      <c r="J27" s="138">
        <f>161840000+161840000+80920000</f>
        <v>404600000</v>
      </c>
      <c r="K27" s="45">
        <f>H27-J27</f>
        <v>0</v>
      </c>
      <c r="L27" s="38">
        <f>(J27*100%)/H27</f>
        <v>1</v>
      </c>
      <c r="M27" s="48">
        <f>J27*L27/H27</f>
        <v>1</v>
      </c>
      <c r="N27" s="50" t="s">
        <v>167</v>
      </c>
    </row>
    <row r="28" spans="1:14" ht="60">
      <c r="A28" s="81" t="s">
        <v>126</v>
      </c>
      <c r="B28" s="80" t="s">
        <v>127</v>
      </c>
      <c r="C28" s="79">
        <v>71799803</v>
      </c>
      <c r="D28" s="84" t="s">
        <v>128</v>
      </c>
      <c r="E28" s="83">
        <v>44328</v>
      </c>
      <c r="F28" s="15" t="s">
        <v>49</v>
      </c>
      <c r="G28" s="82">
        <v>44388</v>
      </c>
      <c r="H28" s="85">
        <v>1497645916</v>
      </c>
      <c r="I28" s="78"/>
      <c r="J28" s="138">
        <f>141215460+336628160+944854415+74947881</f>
        <v>1497645916</v>
      </c>
      <c r="K28" s="133">
        <f>H28-J28</f>
        <v>0</v>
      </c>
      <c r="L28" s="38">
        <f>(J28*100%)/H28</f>
        <v>1</v>
      </c>
      <c r="M28" s="48">
        <f>J28*L28/H28</f>
        <v>1</v>
      </c>
      <c r="N28" s="50" t="s">
        <v>168</v>
      </c>
    </row>
    <row r="29" spans="1:14" ht="48">
      <c r="A29" s="88" t="s">
        <v>129</v>
      </c>
      <c r="B29" s="87" t="s">
        <v>130</v>
      </c>
      <c r="C29" s="86" t="s">
        <v>131</v>
      </c>
      <c r="D29" s="91" t="s">
        <v>132</v>
      </c>
      <c r="E29" s="90">
        <v>44327</v>
      </c>
      <c r="F29" s="15" t="s">
        <v>107</v>
      </c>
      <c r="G29" s="89">
        <v>44419</v>
      </c>
      <c r="H29" s="92">
        <v>323717588</v>
      </c>
      <c r="I29" s="138">
        <v>104447348</v>
      </c>
      <c r="J29" s="138">
        <f>255153207+173011729</f>
        <v>428164936</v>
      </c>
      <c r="K29" s="92">
        <f>(H29+I29)-J29</f>
        <v>0</v>
      </c>
      <c r="L29" s="38">
        <f>J29/(H29+I29)</f>
        <v>1</v>
      </c>
      <c r="M29" s="48">
        <f>(J29*L29)/(H29+I29)</f>
        <v>1</v>
      </c>
      <c r="N29" s="50" t="s">
        <v>169</v>
      </c>
    </row>
    <row r="30" spans="1:14" ht="72">
      <c r="A30" s="96" t="s">
        <v>133</v>
      </c>
      <c r="B30" s="95" t="s">
        <v>134</v>
      </c>
      <c r="C30" s="94" t="s">
        <v>135</v>
      </c>
      <c r="D30" s="100" t="s">
        <v>136</v>
      </c>
      <c r="E30" s="98">
        <v>44327</v>
      </c>
      <c r="F30" s="15" t="s">
        <v>107</v>
      </c>
      <c r="G30" s="97" t="s">
        <v>137</v>
      </c>
      <c r="H30" s="99">
        <v>34181936</v>
      </c>
      <c r="I30" s="93"/>
      <c r="J30" s="138">
        <f>19532533+9766266</f>
        <v>29298799</v>
      </c>
      <c r="K30" s="99">
        <f>H30-J30</f>
        <v>4883137</v>
      </c>
      <c r="L30" s="38">
        <f>J30/H30</f>
        <v>0.85714276101856846</v>
      </c>
      <c r="M30" s="48">
        <f>J30*L30/H30</f>
        <v>0.73469371276653472</v>
      </c>
      <c r="N30" s="50" t="s">
        <v>170</v>
      </c>
    </row>
    <row r="31" spans="1:14" ht="72">
      <c r="A31" s="103" t="s">
        <v>138</v>
      </c>
      <c r="B31" s="102" t="s">
        <v>139</v>
      </c>
      <c r="C31" s="101" t="s">
        <v>140</v>
      </c>
      <c r="D31" s="105" t="s">
        <v>141</v>
      </c>
      <c r="E31" s="104">
        <v>44328</v>
      </c>
      <c r="F31" s="15" t="s">
        <v>49</v>
      </c>
      <c r="G31" s="106">
        <v>44297</v>
      </c>
      <c r="H31" s="107">
        <v>118218900</v>
      </c>
      <c r="I31" s="138">
        <v>31781100</v>
      </c>
      <c r="J31" s="138">
        <f>59109450+35465670+55424880</f>
        <v>150000000</v>
      </c>
      <c r="K31" s="133">
        <f>(H31+I31)-J31</f>
        <v>0</v>
      </c>
      <c r="L31" s="38">
        <f>(J31*100%)/(H31+I31)</f>
        <v>1</v>
      </c>
      <c r="M31" s="48">
        <f>(J31*L31)/(H31+I31)</f>
        <v>1</v>
      </c>
      <c r="N31" s="50" t="s">
        <v>171</v>
      </c>
    </row>
    <row r="32" spans="1:14" ht="48">
      <c r="A32" s="111" t="s">
        <v>142</v>
      </c>
      <c r="B32" s="110" t="s">
        <v>143</v>
      </c>
      <c r="C32" s="109">
        <v>43983270</v>
      </c>
      <c r="D32" s="115" t="s">
        <v>144</v>
      </c>
      <c r="E32" s="113">
        <v>44350</v>
      </c>
      <c r="F32" s="15" t="s">
        <v>13</v>
      </c>
      <c r="G32" s="112">
        <v>44561</v>
      </c>
      <c r="H32" s="114">
        <v>31200000</v>
      </c>
      <c r="I32" s="108"/>
      <c r="J32" s="138">
        <f>4200000+4500000+4500000+4500000+4500000+4500000+4500000</f>
        <v>31200000</v>
      </c>
      <c r="K32" s="133">
        <f>H32-J32</f>
        <v>0</v>
      </c>
      <c r="L32" s="38">
        <f>J32/H32</f>
        <v>1</v>
      </c>
      <c r="M32" s="48">
        <f>J32*L32/H32</f>
        <v>1</v>
      </c>
      <c r="N32" s="50" t="s">
        <v>172</v>
      </c>
    </row>
    <row r="33" spans="1:18" ht="72">
      <c r="A33" s="119" t="s">
        <v>145</v>
      </c>
      <c r="B33" s="118" t="s">
        <v>146</v>
      </c>
      <c r="C33" s="117" t="s">
        <v>147</v>
      </c>
      <c r="D33" s="122" t="s">
        <v>148</v>
      </c>
      <c r="E33" s="121">
        <v>44358</v>
      </c>
      <c r="F33" s="15" t="s">
        <v>107</v>
      </c>
      <c r="G33" s="120">
        <v>44479</v>
      </c>
      <c r="H33" s="123">
        <v>1438979182</v>
      </c>
      <c r="I33" s="116"/>
      <c r="J33" s="138">
        <f>375659845+591084163</f>
        <v>966744008</v>
      </c>
      <c r="K33" s="124">
        <f>H33-J33</f>
        <v>472235174</v>
      </c>
      <c r="L33" s="38">
        <f>J33/H33</f>
        <v>0.67182626412728741</v>
      </c>
      <c r="M33" s="48">
        <f>J33*L33/H33</f>
        <v>0.45135052917122775</v>
      </c>
      <c r="N33" s="50" t="s">
        <v>174</v>
      </c>
    </row>
    <row r="34" spans="1:18" ht="60">
      <c r="A34" s="129" t="s">
        <v>149</v>
      </c>
      <c r="B34" s="128" t="s">
        <v>150</v>
      </c>
      <c r="C34" s="127" t="s">
        <v>151</v>
      </c>
      <c r="D34" s="134" t="s">
        <v>152</v>
      </c>
      <c r="E34" s="132">
        <v>44358</v>
      </c>
      <c r="F34" s="15" t="s">
        <v>107</v>
      </c>
      <c r="G34" s="130">
        <v>44494</v>
      </c>
      <c r="H34" s="137">
        <v>97070368</v>
      </c>
      <c r="I34" s="137">
        <v>21571194</v>
      </c>
      <c r="J34" s="138">
        <f>21571194+21571194+21571194+21571194+21571194</f>
        <v>107855970</v>
      </c>
      <c r="K34" s="133">
        <f>(H34+I34)-J34</f>
        <v>10785592</v>
      </c>
      <c r="L34" s="38">
        <f>J34/(H34+I34)</f>
        <v>0.90909094740340657</v>
      </c>
      <c r="M34" s="48">
        <f>(J34*L34)/(H34+I34)</f>
        <v>0.82644635065082328</v>
      </c>
      <c r="N34" s="50" t="s">
        <v>173</v>
      </c>
      <c r="O34" s="125"/>
      <c r="P34" s="125"/>
      <c r="Q34" s="125"/>
      <c r="R34" s="125"/>
    </row>
    <row r="35" spans="1:18" ht="72">
      <c r="A35" s="129" t="s">
        <v>153</v>
      </c>
      <c r="B35" s="128" t="s">
        <v>154</v>
      </c>
      <c r="C35" s="127">
        <v>1037638937</v>
      </c>
      <c r="D35" s="134" t="s">
        <v>155</v>
      </c>
      <c r="E35" s="132">
        <v>44351</v>
      </c>
      <c r="F35" s="15" t="s">
        <v>14</v>
      </c>
      <c r="G35" s="130">
        <v>44529</v>
      </c>
      <c r="H35" s="137">
        <f>20533316+3500000</f>
        <v>24033316</v>
      </c>
      <c r="I35" s="126"/>
      <c r="J35" s="138">
        <f>3500000+3500000+3500000+3500000+3500000+3033316+3500000</f>
        <v>24033316</v>
      </c>
      <c r="K35" s="133">
        <f>H35-J35</f>
        <v>0</v>
      </c>
      <c r="L35" s="38">
        <f>J35/H35</f>
        <v>1</v>
      </c>
      <c r="M35" s="48">
        <f>J35*L35/H35</f>
        <v>1</v>
      </c>
      <c r="N35" s="50" t="s">
        <v>175</v>
      </c>
      <c r="O35" s="125"/>
      <c r="P35" s="125"/>
      <c r="Q35" s="125"/>
      <c r="R35" s="125"/>
    </row>
    <row r="36" spans="1:18" ht="48">
      <c r="A36" s="129" t="s">
        <v>156</v>
      </c>
      <c r="B36" s="128" t="s">
        <v>157</v>
      </c>
      <c r="C36" s="127">
        <v>42789162</v>
      </c>
      <c r="D36" s="134" t="s">
        <v>71</v>
      </c>
      <c r="E36" s="132">
        <v>44351</v>
      </c>
      <c r="F36" s="15" t="s">
        <v>16</v>
      </c>
      <c r="G36" s="130">
        <v>44561</v>
      </c>
      <c r="H36" s="133">
        <v>15179999</v>
      </c>
      <c r="I36" s="126"/>
      <c r="J36" s="138">
        <f>1979999+2200000+2200000+2200000+2200000+2200000+2200000</f>
        <v>15179999</v>
      </c>
      <c r="K36" s="133">
        <f t="shared" ref="K36" si="11">H36-J36</f>
        <v>0</v>
      </c>
      <c r="L36" s="38">
        <f>J36/H36</f>
        <v>1</v>
      </c>
      <c r="M36" s="48">
        <f>J36*L36/H36</f>
        <v>1</v>
      </c>
      <c r="N36" s="50" t="s">
        <v>176</v>
      </c>
    </row>
    <row r="37" spans="1:18" ht="96">
      <c r="A37" s="129" t="s">
        <v>158</v>
      </c>
      <c r="B37" s="128" t="s">
        <v>159</v>
      </c>
      <c r="C37" s="127" t="s">
        <v>160</v>
      </c>
      <c r="D37" s="134" t="s">
        <v>161</v>
      </c>
      <c r="E37" s="132">
        <v>44370</v>
      </c>
      <c r="F37" s="15" t="s">
        <v>13</v>
      </c>
      <c r="G37" s="130">
        <v>44552</v>
      </c>
      <c r="H37" s="133">
        <v>60000000</v>
      </c>
      <c r="I37" s="137">
        <v>10000000</v>
      </c>
      <c r="J37" s="138">
        <f>9665457+9078273+13286389+3240000+8443920+26285961</f>
        <v>70000000</v>
      </c>
      <c r="K37" s="133">
        <f>(H37+I37)-J37</f>
        <v>0</v>
      </c>
      <c r="L37" s="38">
        <f>J37/(H37+I37)</f>
        <v>1</v>
      </c>
      <c r="M37" s="48">
        <f>(J37*L37)/(H37+I37)</f>
        <v>1</v>
      </c>
      <c r="N37" s="50" t="s">
        <v>177</v>
      </c>
    </row>
    <row r="38" spans="1:18" s="125" customFormat="1" ht="60">
      <c r="A38" s="129" t="s">
        <v>178</v>
      </c>
      <c r="B38" s="128" t="s">
        <v>179</v>
      </c>
      <c r="C38" s="127" t="s">
        <v>120</v>
      </c>
      <c r="D38" s="134" t="s">
        <v>180</v>
      </c>
      <c r="E38" s="135">
        <v>44378</v>
      </c>
      <c r="F38" s="15" t="s">
        <v>20</v>
      </c>
      <c r="G38" s="136">
        <v>44561</v>
      </c>
      <c r="H38" s="133">
        <v>1475248916</v>
      </c>
      <c r="I38" s="126"/>
      <c r="J38" s="138">
        <f>98868441+254987981</f>
        <v>353856422</v>
      </c>
      <c r="K38" s="137">
        <f t="shared" ref="K38" si="12">H38-J38</f>
        <v>1121392494</v>
      </c>
      <c r="L38" s="139">
        <f>(J38/H38)</f>
        <v>0.23986218065453574</v>
      </c>
      <c r="M38" s="48">
        <f t="shared" ref="M38:M53" si="13">J38*L38/H38</f>
        <v>5.753386570834914E-2</v>
      </c>
      <c r="N38" s="50" t="s">
        <v>280</v>
      </c>
    </row>
    <row r="39" spans="1:18" s="125" customFormat="1" ht="60">
      <c r="A39" s="51" t="s">
        <v>181</v>
      </c>
      <c r="B39" s="128" t="s">
        <v>182</v>
      </c>
      <c r="C39" s="127" t="s">
        <v>183</v>
      </c>
      <c r="D39" s="140" t="s">
        <v>184</v>
      </c>
      <c r="E39" s="135" t="s">
        <v>185</v>
      </c>
      <c r="F39" s="15" t="s">
        <v>204</v>
      </c>
      <c r="G39" s="135">
        <v>44470</v>
      </c>
      <c r="H39" s="133">
        <v>1415551717</v>
      </c>
      <c r="I39" s="137">
        <v>463938975</v>
      </c>
      <c r="J39" s="138">
        <f>370673913+205061925+275647447+309634228</f>
        <v>1161017513</v>
      </c>
      <c r="K39" s="137">
        <f>(H39+I39)-J39</f>
        <v>718473179</v>
      </c>
      <c r="L39" s="139">
        <f>J39/(H39+I39)</f>
        <v>0.61772985518993995</v>
      </c>
      <c r="M39" s="48">
        <f>(J39*L39)/(H39+I39)</f>
        <v>0.38159017399298417</v>
      </c>
      <c r="N39" s="50" t="s">
        <v>85</v>
      </c>
    </row>
    <row r="40" spans="1:18" s="125" customFormat="1" ht="60">
      <c r="A40" s="51" t="s">
        <v>186</v>
      </c>
      <c r="B40" s="128" t="s">
        <v>187</v>
      </c>
      <c r="C40" s="127" t="s">
        <v>135</v>
      </c>
      <c r="D40" s="140" t="s">
        <v>136</v>
      </c>
      <c r="E40" s="135">
        <v>44403</v>
      </c>
      <c r="F40" s="15" t="s">
        <v>204</v>
      </c>
      <c r="G40" s="135">
        <v>44540</v>
      </c>
      <c r="H40" s="133">
        <v>119537889</v>
      </c>
      <c r="I40" s="137">
        <v>17709316</v>
      </c>
      <c r="J40" s="138">
        <v>26563974.920000002</v>
      </c>
      <c r="K40" s="137">
        <f>(H40+I40)-J40</f>
        <v>110683230.08</v>
      </c>
      <c r="L40" s="139">
        <f>J40/(H40+I40)</f>
        <v>0.19354838533870328</v>
      </c>
      <c r="M40" s="48">
        <f>(J40*L40)/(H40+I40)</f>
        <v>3.7460977467219166E-2</v>
      </c>
      <c r="N40" s="50" t="s">
        <v>281</v>
      </c>
    </row>
    <row r="41" spans="1:18" s="125" customFormat="1" ht="48">
      <c r="A41" s="51" t="s">
        <v>188</v>
      </c>
      <c r="B41" s="128" t="s">
        <v>192</v>
      </c>
      <c r="C41" s="127" t="s">
        <v>196</v>
      </c>
      <c r="D41" s="140" t="s">
        <v>200</v>
      </c>
      <c r="E41" s="135">
        <v>44410</v>
      </c>
      <c r="F41" s="15" t="s">
        <v>204</v>
      </c>
      <c r="G41" s="135">
        <v>45017</v>
      </c>
      <c r="H41" s="133">
        <v>19785309437</v>
      </c>
      <c r="I41" s="137">
        <v>1172391995</v>
      </c>
      <c r="J41" s="137">
        <f>912606706+2642276340</f>
        <v>3554883046</v>
      </c>
      <c r="K41" s="138">
        <f>(H41+I41)-J41</f>
        <v>17402818386</v>
      </c>
      <c r="L41" s="139">
        <f>J41/(H41+I41)</f>
        <v>0.16962180025010293</v>
      </c>
      <c r="M41" s="48">
        <f>(J41*L41)/(H41+I41)</f>
        <v>2.8771555120085821E-2</v>
      </c>
      <c r="N41" s="50" t="s">
        <v>283</v>
      </c>
    </row>
    <row r="42" spans="1:18" s="125" customFormat="1" ht="96">
      <c r="A42" s="51" t="s">
        <v>189</v>
      </c>
      <c r="B42" s="128" t="s">
        <v>193</v>
      </c>
      <c r="C42" s="127" t="s">
        <v>197</v>
      </c>
      <c r="D42" s="140" t="s">
        <v>201</v>
      </c>
      <c r="E42" s="135">
        <v>44410</v>
      </c>
      <c r="F42" s="15" t="s">
        <v>204</v>
      </c>
      <c r="G42" s="135">
        <v>45078</v>
      </c>
      <c r="H42" s="137">
        <v>19785309437</v>
      </c>
      <c r="I42" s="126"/>
      <c r="J42" s="138">
        <f>1098412284+1549225870</f>
        <v>2647638154</v>
      </c>
      <c r="K42" s="137">
        <f>H42-J41</f>
        <v>16230426391</v>
      </c>
      <c r="L42" s="139">
        <f>J41/H42</f>
        <v>0.17967285562651369</v>
      </c>
      <c r="M42" s="48">
        <f>(J42*L42)/H42</f>
        <v>2.4043531353888283E-2</v>
      </c>
      <c r="N42" s="50" t="s">
        <v>284</v>
      </c>
    </row>
    <row r="43" spans="1:18" s="125" customFormat="1" ht="72">
      <c r="A43" s="51" t="s">
        <v>190</v>
      </c>
      <c r="B43" s="128" t="s">
        <v>194</v>
      </c>
      <c r="C43" s="127" t="s">
        <v>198</v>
      </c>
      <c r="D43" s="140" t="s">
        <v>202</v>
      </c>
      <c r="E43" s="135">
        <v>44411</v>
      </c>
      <c r="F43" s="15" t="s">
        <v>204</v>
      </c>
      <c r="G43" s="135">
        <v>45018</v>
      </c>
      <c r="H43" s="137">
        <v>2997713290</v>
      </c>
      <c r="I43" s="126"/>
      <c r="J43" s="138">
        <v>599542658</v>
      </c>
      <c r="K43" s="137">
        <f>H43-J43</f>
        <v>2398170632</v>
      </c>
      <c r="L43" s="139">
        <f>J43/H43</f>
        <v>0.2</v>
      </c>
      <c r="M43" s="48">
        <f t="shared" si="13"/>
        <v>0.04</v>
      </c>
      <c r="N43" s="50" t="s">
        <v>282</v>
      </c>
    </row>
    <row r="44" spans="1:18" s="125" customFormat="1" ht="72">
      <c r="A44" s="51" t="s">
        <v>191</v>
      </c>
      <c r="B44" s="128" t="s">
        <v>195</v>
      </c>
      <c r="C44" s="127" t="s">
        <v>199</v>
      </c>
      <c r="D44" s="140" t="s">
        <v>203</v>
      </c>
      <c r="E44" s="135">
        <v>44411</v>
      </c>
      <c r="F44" s="15" t="s">
        <v>204</v>
      </c>
      <c r="G44" s="135">
        <v>44928</v>
      </c>
      <c r="H44" s="137">
        <v>2997713290</v>
      </c>
      <c r="I44" s="126"/>
      <c r="J44" s="138">
        <v>599542658</v>
      </c>
      <c r="K44" s="137">
        <f>H44-J44</f>
        <v>2398170632</v>
      </c>
      <c r="L44" s="139">
        <f>J44/H44</f>
        <v>0.2</v>
      </c>
      <c r="M44" s="48">
        <f t="shared" si="13"/>
        <v>0.04</v>
      </c>
      <c r="N44" s="50" t="s">
        <v>285</v>
      </c>
    </row>
    <row r="45" spans="1:18" s="125" customFormat="1" ht="96">
      <c r="A45" s="51" t="s">
        <v>205</v>
      </c>
      <c r="B45" s="128" t="s">
        <v>206</v>
      </c>
      <c r="C45" s="127">
        <v>71746078</v>
      </c>
      <c r="D45" s="134" t="s">
        <v>207</v>
      </c>
      <c r="E45" s="135" t="s">
        <v>208</v>
      </c>
      <c r="F45" s="15" t="s">
        <v>209</v>
      </c>
      <c r="G45" s="135">
        <v>44552</v>
      </c>
      <c r="H45" s="137">
        <v>27500000</v>
      </c>
      <c r="I45" s="126"/>
      <c r="J45" s="138">
        <f>5500000+2383329</f>
        <v>7883329</v>
      </c>
      <c r="K45" s="137">
        <f>H45-J45</f>
        <v>19616671</v>
      </c>
      <c r="L45" s="139">
        <f t="shared" ref="L45:L51" si="14">(J45*100%)/H45</f>
        <v>0.28666650909090907</v>
      </c>
      <c r="M45" s="48">
        <f t="shared" si="13"/>
        <v>8.2177687434368263E-2</v>
      </c>
      <c r="N45" s="50" t="s">
        <v>286</v>
      </c>
    </row>
    <row r="46" spans="1:18" s="125" customFormat="1" ht="60">
      <c r="A46" s="51" t="s">
        <v>287</v>
      </c>
      <c r="B46" s="128" t="s">
        <v>288</v>
      </c>
      <c r="C46" s="127" t="s">
        <v>289</v>
      </c>
      <c r="D46" s="134" t="s">
        <v>290</v>
      </c>
      <c r="E46" s="135" t="s">
        <v>291</v>
      </c>
      <c r="F46" s="15" t="s">
        <v>40</v>
      </c>
      <c r="G46" s="135">
        <v>44495</v>
      </c>
      <c r="H46" s="137">
        <v>324000000</v>
      </c>
      <c r="I46" s="126"/>
      <c r="J46" s="138">
        <f>64800000+64800000+97200000+97200000</f>
        <v>324000000</v>
      </c>
      <c r="K46" s="137">
        <f>H46-J46</f>
        <v>0</v>
      </c>
      <c r="L46" s="139">
        <f t="shared" si="14"/>
        <v>1</v>
      </c>
      <c r="M46" s="48">
        <f t="shared" si="13"/>
        <v>1</v>
      </c>
      <c r="N46" s="50" t="s">
        <v>292</v>
      </c>
    </row>
    <row r="47" spans="1:18" s="125" customFormat="1" ht="60">
      <c r="A47" s="51" t="s">
        <v>210</v>
      </c>
      <c r="B47" s="128" t="s">
        <v>218</v>
      </c>
      <c r="C47" s="127">
        <v>98464303</v>
      </c>
      <c r="D47" s="134" t="s">
        <v>56</v>
      </c>
      <c r="E47" s="135">
        <v>44419</v>
      </c>
      <c r="F47" s="15" t="s">
        <v>40</v>
      </c>
      <c r="G47" s="135">
        <v>44554</v>
      </c>
      <c r="H47" s="137">
        <v>32850000</v>
      </c>
      <c r="I47" s="126"/>
      <c r="J47" s="138">
        <f>4866660</f>
        <v>4866660</v>
      </c>
      <c r="K47" s="137">
        <f t="shared" ref="K47:K48" si="15">H47-J47</f>
        <v>27983340</v>
      </c>
      <c r="L47" s="139">
        <f t="shared" si="14"/>
        <v>0.14814794520547944</v>
      </c>
      <c r="M47" s="48">
        <f t="shared" si="13"/>
        <v>2.194781366860574E-2</v>
      </c>
      <c r="N47" s="50" t="s">
        <v>293</v>
      </c>
    </row>
    <row r="48" spans="1:18" s="125" customFormat="1" ht="60">
      <c r="A48" s="51" t="s">
        <v>211</v>
      </c>
      <c r="B48" s="128" t="s">
        <v>219</v>
      </c>
      <c r="C48" s="127">
        <v>43446813</v>
      </c>
      <c r="D48" s="134" t="s">
        <v>61</v>
      </c>
      <c r="E48" s="135">
        <v>44419</v>
      </c>
      <c r="F48" s="15" t="s">
        <v>40</v>
      </c>
      <c r="G48" s="135">
        <v>44554</v>
      </c>
      <c r="H48" s="137">
        <v>27810000</v>
      </c>
      <c r="I48" s="126"/>
      <c r="J48" s="138">
        <f>4120000+6180000+6180000+6180000+5150000</f>
        <v>27810000</v>
      </c>
      <c r="K48" s="137">
        <f t="shared" si="15"/>
        <v>0</v>
      </c>
      <c r="L48" s="139">
        <f t="shared" si="14"/>
        <v>1</v>
      </c>
      <c r="M48" s="48">
        <f t="shared" si="13"/>
        <v>1</v>
      </c>
      <c r="N48" s="50" t="s">
        <v>294</v>
      </c>
    </row>
    <row r="49" spans="1:22" s="125" customFormat="1" ht="60">
      <c r="A49" s="51" t="s">
        <v>212</v>
      </c>
      <c r="B49" s="128" t="s">
        <v>220</v>
      </c>
      <c r="C49" s="127">
        <v>1128397523</v>
      </c>
      <c r="D49" s="134" t="s">
        <v>226</v>
      </c>
      <c r="E49" s="135">
        <v>44419</v>
      </c>
      <c r="F49" s="15" t="s">
        <v>40</v>
      </c>
      <c r="G49" s="135">
        <v>44554</v>
      </c>
      <c r="H49" s="137">
        <v>8400000</v>
      </c>
      <c r="I49" s="137">
        <v>4200000</v>
      </c>
      <c r="J49" s="138">
        <f>2800000+4200000+4200000+1400000</f>
        <v>12600000</v>
      </c>
      <c r="K49" s="137">
        <f>H49+I49-J49</f>
        <v>0</v>
      </c>
      <c r="L49" s="139">
        <f>(J49*100%)/(H49+I49)</f>
        <v>1</v>
      </c>
      <c r="M49" s="48">
        <f>(J49*L49)/(H49+I49)</f>
        <v>1</v>
      </c>
      <c r="N49" s="50" t="s">
        <v>295</v>
      </c>
    </row>
    <row r="50" spans="1:22" s="125" customFormat="1" ht="60">
      <c r="A50" s="51" t="s">
        <v>213</v>
      </c>
      <c r="B50" s="128" t="s">
        <v>221</v>
      </c>
      <c r="C50" s="127">
        <v>1037596455</v>
      </c>
      <c r="D50" s="134" t="s">
        <v>52</v>
      </c>
      <c r="E50" s="135">
        <v>44419</v>
      </c>
      <c r="F50" s="15" t="s">
        <v>40</v>
      </c>
      <c r="G50" s="135">
        <v>44554</v>
      </c>
      <c r="H50" s="137">
        <v>13275000</v>
      </c>
      <c r="I50" s="126"/>
      <c r="J50" s="138">
        <f>1966660+2950000+2950000+2950000+2458340</f>
        <v>13275000</v>
      </c>
      <c r="K50" s="137">
        <f t="shared" ref="K50:K53" si="16">H50-J50</f>
        <v>0</v>
      </c>
      <c r="L50" s="139">
        <f t="shared" si="14"/>
        <v>1</v>
      </c>
      <c r="M50" s="48">
        <f t="shared" si="13"/>
        <v>1</v>
      </c>
      <c r="N50" s="50" t="s">
        <v>296</v>
      </c>
    </row>
    <row r="51" spans="1:22" s="125" customFormat="1" ht="60">
      <c r="A51" s="51" t="s">
        <v>214</v>
      </c>
      <c r="B51" s="128" t="s">
        <v>222</v>
      </c>
      <c r="C51" s="127">
        <v>71273344</v>
      </c>
      <c r="D51" s="134" t="s">
        <v>58</v>
      </c>
      <c r="E51" s="135">
        <v>44419</v>
      </c>
      <c r="F51" s="15" t="s">
        <v>40</v>
      </c>
      <c r="G51" s="135">
        <v>44554</v>
      </c>
      <c r="H51" s="137">
        <v>8190000</v>
      </c>
      <c r="I51" s="126"/>
      <c r="J51" s="138">
        <f>1213320+1820000+1820000+1820000+1516680</f>
        <v>8190000</v>
      </c>
      <c r="K51" s="137">
        <f t="shared" si="16"/>
        <v>0</v>
      </c>
      <c r="L51" s="139">
        <f t="shared" si="14"/>
        <v>1</v>
      </c>
      <c r="M51" s="48">
        <f t="shared" si="13"/>
        <v>1</v>
      </c>
      <c r="N51" s="50" t="s">
        <v>298</v>
      </c>
    </row>
    <row r="52" spans="1:22" s="125" customFormat="1" ht="48">
      <c r="A52" s="51" t="s">
        <v>215</v>
      </c>
      <c r="B52" s="128" t="s">
        <v>223</v>
      </c>
      <c r="C52" s="127">
        <v>1037655075</v>
      </c>
      <c r="D52" s="134" t="s">
        <v>227</v>
      </c>
      <c r="E52" s="135">
        <v>44426</v>
      </c>
      <c r="F52" s="15" t="s">
        <v>231</v>
      </c>
      <c r="G52" s="135">
        <v>44456</v>
      </c>
      <c r="H52" s="137">
        <v>7996800</v>
      </c>
      <c r="I52" s="126"/>
      <c r="J52" s="138">
        <f>7996800</f>
        <v>7996800</v>
      </c>
      <c r="K52" s="137">
        <f t="shared" si="16"/>
        <v>0</v>
      </c>
      <c r="L52" s="139">
        <f t="shared" ref="L52" si="17">(J52*100)/H52</f>
        <v>100</v>
      </c>
      <c r="M52" s="48">
        <f t="shared" si="13"/>
        <v>100</v>
      </c>
      <c r="N52" s="50" t="s">
        <v>297</v>
      </c>
    </row>
    <row r="53" spans="1:22" s="125" customFormat="1" ht="120">
      <c r="A53" s="51" t="s">
        <v>216</v>
      </c>
      <c r="B53" s="128" t="s">
        <v>224</v>
      </c>
      <c r="C53" s="127">
        <v>70507607</v>
      </c>
      <c r="D53" s="134" t="s">
        <v>228</v>
      </c>
      <c r="E53" s="135">
        <v>44425</v>
      </c>
      <c r="F53" s="15" t="s">
        <v>231</v>
      </c>
      <c r="G53" s="135">
        <v>44556</v>
      </c>
      <c r="H53" s="137">
        <v>23833333</v>
      </c>
      <c r="I53" s="126"/>
      <c r="J53" s="138">
        <f>5500000+5500000+5500000+5500000+1833333</f>
        <v>23833333</v>
      </c>
      <c r="K53" s="137">
        <f t="shared" si="16"/>
        <v>0</v>
      </c>
      <c r="L53" s="139">
        <f>(J53*100%)/H53</f>
        <v>1</v>
      </c>
      <c r="M53" s="48">
        <f t="shared" si="13"/>
        <v>1</v>
      </c>
      <c r="N53" s="50" t="s">
        <v>299</v>
      </c>
    </row>
    <row r="54" spans="1:22" s="125" customFormat="1">
      <c r="A54" s="51" t="s">
        <v>217</v>
      </c>
      <c r="B54" s="158" t="s">
        <v>245</v>
      </c>
      <c r="C54" s="159"/>
      <c r="D54" s="159"/>
      <c r="E54" s="159"/>
      <c r="F54" s="159"/>
      <c r="G54" s="159"/>
      <c r="H54" s="159"/>
      <c r="I54" s="159"/>
      <c r="J54" s="159"/>
      <c r="K54" s="159"/>
      <c r="L54" s="159"/>
      <c r="M54" s="159"/>
      <c r="N54" s="160"/>
    </row>
    <row r="55" spans="1:22" s="125" customFormat="1" ht="24">
      <c r="A55" s="51" t="s">
        <v>232</v>
      </c>
      <c r="B55" s="128" t="s">
        <v>233</v>
      </c>
      <c r="C55" s="127" t="s">
        <v>234</v>
      </c>
      <c r="D55" s="134" t="s">
        <v>235</v>
      </c>
      <c r="E55" s="141">
        <v>44435</v>
      </c>
      <c r="F55" s="15" t="s">
        <v>49</v>
      </c>
      <c r="G55" s="135">
        <v>44561</v>
      </c>
      <c r="H55" s="137">
        <v>3041057477</v>
      </c>
      <c r="I55" s="126"/>
      <c r="J55" s="138">
        <f>1216422991+1216422991+608211495</f>
        <v>3041057477</v>
      </c>
      <c r="K55" s="137">
        <f>H55-J55</f>
        <v>0</v>
      </c>
      <c r="L55" s="142">
        <f>J55/H55</f>
        <v>1</v>
      </c>
      <c r="M55" s="48">
        <f t="shared" ref="M55:M64" si="18">J55*L55/H55</f>
        <v>1</v>
      </c>
      <c r="N55" s="50" t="s">
        <v>300</v>
      </c>
    </row>
    <row r="56" spans="1:22" s="125" customFormat="1" ht="60">
      <c r="A56" s="51" t="s">
        <v>236</v>
      </c>
      <c r="B56" s="128" t="s">
        <v>238</v>
      </c>
      <c r="C56" s="127" t="s">
        <v>240</v>
      </c>
      <c r="D56" s="140" t="s">
        <v>242</v>
      </c>
      <c r="E56" s="135">
        <v>44440</v>
      </c>
      <c r="F56" s="15" t="s">
        <v>231</v>
      </c>
      <c r="G56" s="135">
        <v>44651</v>
      </c>
      <c r="H56" s="137">
        <v>6364453618</v>
      </c>
      <c r="I56" s="137">
        <v>3153551416</v>
      </c>
      <c r="J56" s="138">
        <f>331348539+663551597+809365655+1874913290+1082078740</f>
        <v>4761257821</v>
      </c>
      <c r="K56" s="137">
        <f>(H56+I56)-J56</f>
        <v>4756747213</v>
      </c>
      <c r="L56" s="139">
        <f>J56/(H56+I56)</f>
        <v>0.50023695133506907</v>
      </c>
      <c r="M56" s="48">
        <f>(J56*L56)/(H56+I56)</f>
        <v>0.25023700748100425</v>
      </c>
      <c r="N56" s="50" t="s">
        <v>301</v>
      </c>
    </row>
    <row r="57" spans="1:22" s="125" customFormat="1" ht="72">
      <c r="A57" s="51" t="s">
        <v>237</v>
      </c>
      <c r="B57" s="128" t="s">
        <v>239</v>
      </c>
      <c r="C57" s="127" t="s">
        <v>241</v>
      </c>
      <c r="D57" s="140" t="s">
        <v>243</v>
      </c>
      <c r="E57" s="135">
        <v>44440</v>
      </c>
      <c r="F57" s="15" t="s">
        <v>231</v>
      </c>
      <c r="G57" s="135">
        <v>44681</v>
      </c>
      <c r="H57" s="137">
        <v>770252728</v>
      </c>
      <c r="I57" s="137">
        <v>128505720</v>
      </c>
      <c r="J57" s="138">
        <f>96281591+96281591+96281591+96281591+96281591</f>
        <v>481407955</v>
      </c>
      <c r="K57" s="137">
        <f>(H57+I57)-J57</f>
        <v>417350493</v>
      </c>
      <c r="L57" s="139">
        <f>J57/(H57+I57)</f>
        <v>0.53563663971256492</v>
      </c>
      <c r="M57" s="48">
        <f>(J57*L57)/(H57+I57)</f>
        <v>0.28690660980256805</v>
      </c>
      <c r="N57" s="50" t="s">
        <v>302</v>
      </c>
    </row>
    <row r="58" spans="1:22" s="125" customFormat="1" ht="60">
      <c r="A58" s="51" t="s">
        <v>244</v>
      </c>
      <c r="B58" s="128" t="s">
        <v>225</v>
      </c>
      <c r="C58" s="127" t="s">
        <v>229</v>
      </c>
      <c r="D58" s="134" t="s">
        <v>230</v>
      </c>
      <c r="E58" s="135">
        <v>44432</v>
      </c>
      <c r="F58" s="15" t="s">
        <v>231</v>
      </c>
      <c r="G58" s="135">
        <v>44493</v>
      </c>
      <c r="H58" s="137">
        <v>181000000</v>
      </c>
      <c r="I58" s="137">
        <v>17790000</v>
      </c>
      <c r="J58" s="138">
        <f>49500000+59238000</f>
        <v>108738000</v>
      </c>
      <c r="K58" s="137">
        <f>(H58+I58)-J58</f>
        <v>90052000</v>
      </c>
      <c r="L58" s="139">
        <f>J58/(H58+I58)</f>
        <v>0.54699934604356359</v>
      </c>
      <c r="M58" s="48">
        <f>(J58*L58)/(H58+I58)</f>
        <v>0.2992082845720862</v>
      </c>
      <c r="N58" s="50" t="s">
        <v>303</v>
      </c>
    </row>
    <row r="59" spans="1:22" s="125" customFormat="1" ht="60">
      <c r="A59" s="51" t="s">
        <v>246</v>
      </c>
      <c r="B59" s="128" t="s">
        <v>248</v>
      </c>
      <c r="C59" s="127">
        <v>98565353</v>
      </c>
      <c r="D59" s="140" t="s">
        <v>250</v>
      </c>
      <c r="E59" s="135">
        <v>44440</v>
      </c>
      <c r="F59" s="15" t="s">
        <v>49</v>
      </c>
      <c r="G59" s="135">
        <v>44331</v>
      </c>
      <c r="H59" s="137">
        <v>733039995</v>
      </c>
      <c r="I59" s="137">
        <f>29012200+190824740</f>
        <v>219836940</v>
      </c>
      <c r="J59" s="137">
        <f>88159320+88159320+88159320+80482035+88159320+95412370</f>
        <v>528531685</v>
      </c>
      <c r="K59" s="137">
        <f>(H59+I59)-J59</f>
        <v>424345250</v>
      </c>
      <c r="L59" s="139">
        <f>J59/(H59+I59)</f>
        <v>0.55466940754526717</v>
      </c>
      <c r="M59" s="48">
        <f>(J59*L59)/(H59+I59)</f>
        <v>0.30765815166661764</v>
      </c>
      <c r="N59" s="50" t="s">
        <v>304</v>
      </c>
    </row>
    <row r="60" spans="1:22" s="125" customFormat="1" ht="48">
      <c r="A60" s="51" t="s">
        <v>247</v>
      </c>
      <c r="B60" s="128" t="s">
        <v>249</v>
      </c>
      <c r="C60" s="127">
        <v>15438765</v>
      </c>
      <c r="D60" s="140" t="s">
        <v>251</v>
      </c>
      <c r="E60" s="135">
        <v>44440</v>
      </c>
      <c r="F60" s="15" t="s">
        <v>49</v>
      </c>
      <c r="G60" s="135">
        <v>44301</v>
      </c>
      <c r="H60" s="137">
        <v>7067629875</v>
      </c>
      <c r="I60" s="137">
        <v>3669409447</v>
      </c>
      <c r="J60" s="138">
        <f>1199819502+1038243005</f>
        <v>2238062507</v>
      </c>
      <c r="K60" s="137">
        <f>(H60+I60)-J60</f>
        <v>8498976815</v>
      </c>
      <c r="L60" s="139">
        <f>J60/(H60+I60)</f>
        <v>0.20844316946984168</v>
      </c>
      <c r="M60" s="48">
        <f>(J60*L60)/(H60+I60)</f>
        <v>4.3448554898633134E-2</v>
      </c>
      <c r="N60" s="50" t="s">
        <v>305</v>
      </c>
      <c r="O60" s="135"/>
      <c r="P60" s="137"/>
      <c r="Q60" s="126"/>
      <c r="R60" s="138"/>
      <c r="S60" s="137"/>
      <c r="T60" s="139"/>
      <c r="U60" s="48"/>
      <c r="V60" s="50"/>
    </row>
    <row r="61" spans="1:22" s="125" customFormat="1" ht="60">
      <c r="A61" s="51" t="s">
        <v>252</v>
      </c>
      <c r="B61" s="128" t="s">
        <v>253</v>
      </c>
      <c r="C61" s="127" t="s">
        <v>254</v>
      </c>
      <c r="D61" s="134" t="s">
        <v>255</v>
      </c>
      <c r="E61" s="135">
        <v>44449</v>
      </c>
      <c r="F61" s="15" t="s">
        <v>231</v>
      </c>
      <c r="G61" s="135">
        <v>44509</v>
      </c>
      <c r="H61" s="137">
        <v>66992465</v>
      </c>
      <c r="I61" s="126"/>
      <c r="J61" s="138">
        <f>64714788</f>
        <v>64714788</v>
      </c>
      <c r="K61" s="137">
        <f t="shared" ref="K61" si="19">H61-J61</f>
        <v>2277677</v>
      </c>
      <c r="L61" s="139">
        <f>J61/H61</f>
        <v>0.96600099727633548</v>
      </c>
      <c r="M61" s="48">
        <f t="shared" si="18"/>
        <v>0.93315792673887477</v>
      </c>
      <c r="N61" s="50" t="s">
        <v>306</v>
      </c>
    </row>
    <row r="62" spans="1:22" s="125" customFormat="1" ht="36">
      <c r="A62" s="51" t="s">
        <v>257</v>
      </c>
      <c r="B62" s="128" t="s">
        <v>262</v>
      </c>
      <c r="C62" s="127" t="s">
        <v>263</v>
      </c>
      <c r="D62" s="140" t="s">
        <v>264</v>
      </c>
      <c r="E62" s="135">
        <v>44449</v>
      </c>
      <c r="F62" s="15" t="s">
        <v>20</v>
      </c>
      <c r="G62" s="135">
        <v>44554</v>
      </c>
      <c r="H62" s="137">
        <v>4176671531</v>
      </c>
      <c r="I62" s="137">
        <v>770614184</v>
      </c>
      <c r="J62" s="138">
        <v>1253001459</v>
      </c>
      <c r="K62" s="137">
        <f>(H62+I62)-J62</f>
        <v>3694284256</v>
      </c>
      <c r="L62" s="139">
        <f>J62/(H62+I62)</f>
        <v>0.25327048631958787</v>
      </c>
      <c r="M62" s="48">
        <f>(J62*L62)/(H62+I62)</f>
        <v>6.4145939240560543E-2</v>
      </c>
      <c r="N62" s="50" t="s">
        <v>307</v>
      </c>
    </row>
    <row r="63" spans="1:22" s="125" customFormat="1" ht="48">
      <c r="A63" s="51" t="s">
        <v>256</v>
      </c>
      <c r="B63" s="128" t="s">
        <v>265</v>
      </c>
      <c r="C63" s="127" t="s">
        <v>266</v>
      </c>
      <c r="D63" s="134" t="s">
        <v>267</v>
      </c>
      <c r="E63" s="132">
        <v>44449</v>
      </c>
      <c r="F63" s="15" t="s">
        <v>20</v>
      </c>
      <c r="G63" s="130">
        <v>44599</v>
      </c>
      <c r="H63" s="133">
        <v>104261850</v>
      </c>
      <c r="I63" s="137">
        <v>59737152</v>
      </c>
      <c r="J63" s="138">
        <f>29789101+29789101+29789101+14921919+9262221</f>
        <v>113551443</v>
      </c>
      <c r="K63" s="133">
        <f>(H63+I63)-J63</f>
        <v>50447559</v>
      </c>
      <c r="L63" s="139">
        <f>J63/(H63+I63)</f>
        <v>0.69239106101389569</v>
      </c>
      <c r="M63" s="48">
        <f>(J63*L63)/(H63+I63)</f>
        <v>0.47940538137194827</v>
      </c>
      <c r="N63" s="50" t="s">
        <v>308</v>
      </c>
    </row>
    <row r="64" spans="1:22" s="125" customFormat="1" ht="48">
      <c r="A64" s="51" t="s">
        <v>258</v>
      </c>
      <c r="B64" s="128" t="s">
        <v>268</v>
      </c>
      <c r="C64" s="127" t="s">
        <v>269</v>
      </c>
      <c r="D64" s="134" t="s">
        <v>270</v>
      </c>
      <c r="E64" s="132">
        <v>44449</v>
      </c>
      <c r="F64" s="15" t="s">
        <v>40</v>
      </c>
      <c r="G64" s="130">
        <v>44458</v>
      </c>
      <c r="H64" s="133">
        <v>59017681</v>
      </c>
      <c r="I64" s="126"/>
      <c r="J64" s="138">
        <v>59017681</v>
      </c>
      <c r="K64" s="133">
        <f t="shared" ref="K64" si="20">H64-J64</f>
        <v>0</v>
      </c>
      <c r="L64" s="38">
        <f>J64/H64</f>
        <v>1</v>
      </c>
      <c r="M64" s="48">
        <f t="shared" si="18"/>
        <v>1</v>
      </c>
      <c r="N64" s="50" t="s">
        <v>309</v>
      </c>
    </row>
    <row r="65" spans="1:14" s="125" customFormat="1" ht="60">
      <c r="A65" s="51" t="s">
        <v>259</v>
      </c>
      <c r="B65" s="128" t="s">
        <v>271</v>
      </c>
      <c r="C65" s="127" t="s">
        <v>272</v>
      </c>
      <c r="D65" s="134" t="s">
        <v>273</v>
      </c>
      <c r="E65" s="132">
        <v>44462</v>
      </c>
      <c r="F65" s="15" t="s">
        <v>40</v>
      </c>
      <c r="G65" s="130">
        <v>44611</v>
      </c>
      <c r="H65" s="133">
        <v>17966667</v>
      </c>
      <c r="I65" s="137">
        <v>5500000</v>
      </c>
      <c r="J65" s="138">
        <f>6966667+5500000+4400000+1100000+5500000</f>
        <v>23466667</v>
      </c>
      <c r="K65" s="133">
        <f>(H65+I65)-J65</f>
        <v>0</v>
      </c>
      <c r="L65" s="38">
        <f>J65/(H65+I65)</f>
        <v>1</v>
      </c>
      <c r="M65" s="48">
        <f>(J65*L65)/(H65+I65)</f>
        <v>1</v>
      </c>
      <c r="N65" s="50" t="s">
        <v>310</v>
      </c>
    </row>
    <row r="66" spans="1:14" s="125" customFormat="1" ht="60">
      <c r="A66" s="51" t="s">
        <v>260</v>
      </c>
      <c r="B66" s="128" t="s">
        <v>274</v>
      </c>
      <c r="C66" s="127" t="s">
        <v>275</v>
      </c>
      <c r="D66" s="134" t="s">
        <v>276</v>
      </c>
      <c r="E66" s="132">
        <v>44462</v>
      </c>
      <c r="F66" s="15" t="s">
        <v>40</v>
      </c>
      <c r="G66" s="130">
        <v>44611</v>
      </c>
      <c r="H66" s="133">
        <v>17966667</v>
      </c>
      <c r="I66" s="137">
        <v>5500000</v>
      </c>
      <c r="J66" s="138">
        <f>6966667+5500000+4400000+1100000</f>
        <v>17966667</v>
      </c>
      <c r="K66" s="133">
        <f>(H66+I66)-J66</f>
        <v>5500000</v>
      </c>
      <c r="L66" s="38">
        <f>J66/(H66+I66)</f>
        <v>0.76562500332919026</v>
      </c>
      <c r="M66" s="48">
        <f>(J66*L66)/(H66+I66)</f>
        <v>0.58618164572282261</v>
      </c>
      <c r="N66" s="50" t="s">
        <v>311</v>
      </c>
    </row>
    <row r="67" spans="1:14" s="125" customFormat="1" ht="60">
      <c r="A67" s="51" t="s">
        <v>261</v>
      </c>
      <c r="B67" s="128" t="s">
        <v>277</v>
      </c>
      <c r="C67" s="127" t="s">
        <v>278</v>
      </c>
      <c r="D67" s="134" t="s">
        <v>279</v>
      </c>
      <c r="E67" s="132">
        <v>44468</v>
      </c>
      <c r="F67" s="15" t="s">
        <v>40</v>
      </c>
      <c r="G67" s="130">
        <v>44618</v>
      </c>
      <c r="H67" s="133">
        <v>12000000</v>
      </c>
      <c r="I67" s="137">
        <v>4000000</v>
      </c>
      <c r="J67" s="138">
        <f>4000000+4000000+3200000</f>
        <v>11200000</v>
      </c>
      <c r="K67" s="133">
        <f>(H67+I67)-J67</f>
        <v>4800000</v>
      </c>
      <c r="L67" s="38">
        <f>J67/(H67+I67)</f>
        <v>0.7</v>
      </c>
      <c r="M67" s="48">
        <f>(J67*L67)/(H67+I67)</f>
        <v>0.48999999999999994</v>
      </c>
      <c r="N67" s="50" t="s">
        <v>312</v>
      </c>
    </row>
    <row r="68" spans="1:14" s="125" customFormat="1" ht="60">
      <c r="A68" s="51" t="s">
        <v>314</v>
      </c>
      <c r="B68" s="143" t="s">
        <v>315</v>
      </c>
      <c r="C68" s="127" t="s">
        <v>316</v>
      </c>
      <c r="D68" s="134" t="s">
        <v>317</v>
      </c>
      <c r="E68" s="141">
        <v>44480</v>
      </c>
      <c r="F68" s="135" t="s">
        <v>318</v>
      </c>
      <c r="G68" s="130">
        <v>44617</v>
      </c>
      <c r="H68" s="137">
        <v>1629127035</v>
      </c>
      <c r="I68" s="126"/>
      <c r="J68" s="138">
        <v>807286381</v>
      </c>
      <c r="K68" s="137">
        <f>H68-J68</f>
        <v>821840654</v>
      </c>
      <c r="L68" s="38">
        <f>J68/H68</f>
        <v>0.49553310678439511</v>
      </c>
      <c r="M68" s="48">
        <f>(J68*L68)/H68</f>
        <v>0.24555305991939474</v>
      </c>
      <c r="N68" s="50" t="s">
        <v>319</v>
      </c>
    </row>
    <row r="69" spans="1:14" s="125" customFormat="1" ht="48">
      <c r="A69" s="51" t="s">
        <v>320</v>
      </c>
      <c r="B69" s="143" t="s">
        <v>321</v>
      </c>
      <c r="C69" s="127" t="s">
        <v>322</v>
      </c>
      <c r="D69" s="134" t="s">
        <v>323</v>
      </c>
      <c r="E69" s="141">
        <v>44476</v>
      </c>
      <c r="F69" s="135" t="s">
        <v>318</v>
      </c>
      <c r="G69" s="130">
        <v>44640</v>
      </c>
      <c r="H69" s="137">
        <v>531615842</v>
      </c>
      <c r="I69" s="126"/>
      <c r="J69" s="131">
        <v>0</v>
      </c>
      <c r="K69" s="133">
        <v>0</v>
      </c>
      <c r="L69" s="38">
        <v>0</v>
      </c>
      <c r="M69" s="48">
        <v>0</v>
      </c>
      <c r="N69" s="50" t="s">
        <v>324</v>
      </c>
    </row>
    <row r="70" spans="1:14" s="125" customFormat="1" ht="48">
      <c r="A70" s="51" t="s">
        <v>325</v>
      </c>
      <c r="B70" s="143" t="s">
        <v>326</v>
      </c>
      <c r="C70" s="127">
        <v>1040752314</v>
      </c>
      <c r="D70" s="134" t="s">
        <v>327</v>
      </c>
      <c r="E70" s="141">
        <v>44474</v>
      </c>
      <c r="F70" s="135" t="s">
        <v>328</v>
      </c>
      <c r="G70" s="130">
        <v>44558</v>
      </c>
      <c r="H70" s="137">
        <v>6159982</v>
      </c>
      <c r="I70" s="126"/>
      <c r="J70" s="138">
        <f>1906658+2200000+2053324</f>
        <v>6159982</v>
      </c>
      <c r="K70" s="137">
        <f t="shared" ref="K70" si="21">H70-J70</f>
        <v>0</v>
      </c>
      <c r="L70" s="38">
        <f t="shared" ref="L70:L83" si="22">J70/H70</f>
        <v>1</v>
      </c>
      <c r="M70" s="48">
        <f t="shared" ref="M70:M85" si="23">(J70*L70)/H70</f>
        <v>1</v>
      </c>
      <c r="N70" s="50" t="s">
        <v>329</v>
      </c>
    </row>
    <row r="71" spans="1:14" s="125" customFormat="1" ht="48">
      <c r="A71" s="51" t="s">
        <v>330</v>
      </c>
      <c r="B71" s="143" t="s">
        <v>337</v>
      </c>
      <c r="C71" s="127" t="s">
        <v>338</v>
      </c>
      <c r="D71" s="134" t="s">
        <v>339</v>
      </c>
      <c r="E71" s="141">
        <v>44480</v>
      </c>
      <c r="F71" s="135" t="s">
        <v>318</v>
      </c>
      <c r="G71" s="130">
        <v>44617</v>
      </c>
      <c r="H71" s="137">
        <v>77875492</v>
      </c>
      <c r="I71" s="126"/>
      <c r="J71" s="138">
        <v>17493770</v>
      </c>
      <c r="K71" s="137">
        <f t="shared" ref="K71:K77" si="24">H71-J71</f>
        <v>60381722</v>
      </c>
      <c r="L71" s="38">
        <f t="shared" si="22"/>
        <v>0.22463768190382669</v>
      </c>
      <c r="M71" s="48">
        <f t="shared" si="23"/>
        <v>5.0462088131124821E-2</v>
      </c>
      <c r="N71" s="50" t="s">
        <v>342</v>
      </c>
    </row>
    <row r="72" spans="1:14" s="125" customFormat="1" ht="48">
      <c r="A72" s="51" t="s">
        <v>331</v>
      </c>
      <c r="B72" s="143" t="s">
        <v>340</v>
      </c>
      <c r="C72" s="127" t="s">
        <v>229</v>
      </c>
      <c r="D72" s="140" t="s">
        <v>341</v>
      </c>
      <c r="E72" s="141">
        <v>44484</v>
      </c>
      <c r="F72" s="135" t="s">
        <v>231</v>
      </c>
      <c r="G72" s="135">
        <v>44544</v>
      </c>
      <c r="H72" s="137">
        <v>87470000</v>
      </c>
      <c r="I72" s="126"/>
      <c r="J72" s="138">
        <v>17494000</v>
      </c>
      <c r="K72" s="137">
        <f t="shared" si="24"/>
        <v>69976000</v>
      </c>
      <c r="L72" s="38">
        <f t="shared" si="22"/>
        <v>0.2</v>
      </c>
      <c r="M72" s="48">
        <f t="shared" si="23"/>
        <v>0.04</v>
      </c>
      <c r="N72" s="50" t="s">
        <v>343</v>
      </c>
    </row>
    <row r="73" spans="1:14" s="125" customFormat="1" ht="84">
      <c r="A73" s="51" t="s">
        <v>332</v>
      </c>
      <c r="B73" s="143" t="s">
        <v>344</v>
      </c>
      <c r="C73" s="127" t="s">
        <v>345</v>
      </c>
      <c r="D73" s="134" t="s">
        <v>346</v>
      </c>
      <c r="E73" s="141">
        <v>44485</v>
      </c>
      <c r="F73" s="135" t="s">
        <v>347</v>
      </c>
      <c r="G73" s="135">
        <v>44560</v>
      </c>
      <c r="H73" s="137">
        <v>8000000</v>
      </c>
      <c r="I73" s="126"/>
      <c r="J73" s="138">
        <f>3200000+4800000</f>
        <v>8000000</v>
      </c>
      <c r="K73" s="133">
        <f t="shared" si="24"/>
        <v>0</v>
      </c>
      <c r="L73" s="38">
        <f t="shared" si="22"/>
        <v>1</v>
      </c>
      <c r="M73" s="48">
        <f t="shared" si="23"/>
        <v>1</v>
      </c>
      <c r="N73" s="50" t="s">
        <v>348</v>
      </c>
    </row>
    <row r="74" spans="1:14" s="125" customFormat="1" ht="84">
      <c r="A74" s="51" t="s">
        <v>333</v>
      </c>
      <c r="B74" s="144" t="s">
        <v>349</v>
      </c>
      <c r="C74" s="145">
        <v>98606428</v>
      </c>
      <c r="D74" s="146" t="s">
        <v>350</v>
      </c>
      <c r="E74" s="141">
        <v>44504</v>
      </c>
      <c r="F74" s="141" t="s">
        <v>347</v>
      </c>
      <c r="G74" s="141">
        <v>44561</v>
      </c>
      <c r="H74" s="147">
        <v>12500000</v>
      </c>
      <c r="I74" s="126"/>
      <c r="J74" s="148">
        <f>5850000+6500000</f>
        <v>12350000</v>
      </c>
      <c r="K74" s="133">
        <f t="shared" si="24"/>
        <v>150000</v>
      </c>
      <c r="L74" s="38">
        <f t="shared" si="22"/>
        <v>0.98799999999999999</v>
      </c>
      <c r="M74" s="48">
        <f t="shared" si="23"/>
        <v>0.97614400000000001</v>
      </c>
      <c r="N74" s="50" t="s">
        <v>351</v>
      </c>
    </row>
    <row r="75" spans="1:14" s="125" customFormat="1" ht="72">
      <c r="A75" s="51" t="s">
        <v>334</v>
      </c>
      <c r="B75" s="149" t="s">
        <v>368</v>
      </c>
      <c r="C75" s="150" t="s">
        <v>369</v>
      </c>
      <c r="D75" s="134" t="s">
        <v>370</v>
      </c>
      <c r="E75" s="151">
        <v>44508</v>
      </c>
      <c r="F75" s="151" t="s">
        <v>231</v>
      </c>
      <c r="G75" s="141">
        <v>44620</v>
      </c>
      <c r="H75" s="152">
        <v>475660454</v>
      </c>
      <c r="I75" s="126"/>
      <c r="J75" s="153">
        <f>138121586</f>
        <v>138121586</v>
      </c>
      <c r="K75" s="152">
        <f t="shared" si="24"/>
        <v>337538868</v>
      </c>
      <c r="L75" s="38">
        <f t="shared" si="22"/>
        <v>0.29037853544158626</v>
      </c>
      <c r="M75" s="48">
        <f t="shared" si="23"/>
        <v>8.4319693845200563E-2</v>
      </c>
      <c r="N75" s="50" t="s">
        <v>371</v>
      </c>
    </row>
    <row r="76" spans="1:14" s="125" customFormat="1" ht="60">
      <c r="A76" s="51" t="s">
        <v>335</v>
      </c>
      <c r="B76" s="154" t="s">
        <v>372</v>
      </c>
      <c r="C76" s="150" t="s">
        <v>373</v>
      </c>
      <c r="D76" s="140" t="s">
        <v>374</v>
      </c>
      <c r="E76" s="151">
        <v>44518</v>
      </c>
      <c r="F76" s="151" t="s">
        <v>49</v>
      </c>
      <c r="G76" s="141">
        <v>44665</v>
      </c>
      <c r="H76" s="137">
        <v>327202400</v>
      </c>
      <c r="I76" s="126"/>
      <c r="J76" s="138">
        <f>127202400</f>
        <v>127202400</v>
      </c>
      <c r="K76" s="133">
        <f t="shared" si="24"/>
        <v>200000000</v>
      </c>
      <c r="L76" s="38">
        <f t="shared" si="22"/>
        <v>0.38875753967574811</v>
      </c>
      <c r="M76" s="48">
        <f t="shared" si="23"/>
        <v>0.15113242465474086</v>
      </c>
      <c r="N76" s="50" t="s">
        <v>375</v>
      </c>
    </row>
    <row r="77" spans="1:14" s="125" customFormat="1" ht="72">
      <c r="A77" s="51" t="s">
        <v>336</v>
      </c>
      <c r="B77" s="143" t="s">
        <v>376</v>
      </c>
      <c r="C77" s="150" t="s">
        <v>377</v>
      </c>
      <c r="D77" s="140" t="s">
        <v>378</v>
      </c>
      <c r="E77" s="151">
        <v>44519</v>
      </c>
      <c r="F77" s="151" t="s">
        <v>347</v>
      </c>
      <c r="G77" s="151">
        <v>44487</v>
      </c>
      <c r="H77" s="137">
        <v>2753000000</v>
      </c>
      <c r="I77" s="126"/>
      <c r="J77" s="138">
        <f>690000000</f>
        <v>690000000</v>
      </c>
      <c r="K77" s="133">
        <f t="shared" si="24"/>
        <v>2063000000</v>
      </c>
      <c r="L77" s="38">
        <f t="shared" si="22"/>
        <v>0.25063567017798766</v>
      </c>
      <c r="M77" s="48">
        <f t="shared" si="23"/>
        <v>6.2818239165569001E-2</v>
      </c>
      <c r="N77" s="50" t="s">
        <v>379</v>
      </c>
    </row>
    <row r="78" spans="1:14" ht="48">
      <c r="A78" s="51" t="s">
        <v>352</v>
      </c>
      <c r="B78" s="143" t="s">
        <v>380</v>
      </c>
      <c r="C78" s="150">
        <v>1128397523</v>
      </c>
      <c r="D78" s="134" t="s">
        <v>226</v>
      </c>
      <c r="E78" s="151">
        <v>44517</v>
      </c>
      <c r="F78" s="151" t="s">
        <v>40</v>
      </c>
      <c r="G78" s="151">
        <v>44554</v>
      </c>
      <c r="H78" s="137">
        <v>5320000</v>
      </c>
      <c r="I78" s="126"/>
      <c r="J78" s="138">
        <f>1960000+3360000</f>
        <v>5320000</v>
      </c>
      <c r="K78" s="133">
        <f t="shared" ref="K78:K80" si="25">H78-J78</f>
        <v>0</v>
      </c>
      <c r="L78" s="38">
        <f t="shared" si="22"/>
        <v>1</v>
      </c>
      <c r="M78" s="48">
        <f t="shared" si="23"/>
        <v>1</v>
      </c>
      <c r="N78" s="50" t="s">
        <v>388</v>
      </c>
    </row>
    <row r="79" spans="1:14" ht="60">
      <c r="A79" s="51" t="s">
        <v>353</v>
      </c>
      <c r="B79" s="143" t="s">
        <v>382</v>
      </c>
      <c r="C79" s="150" t="s">
        <v>383</v>
      </c>
      <c r="D79" s="134" t="s">
        <v>384</v>
      </c>
      <c r="E79" s="151">
        <v>44523</v>
      </c>
      <c r="F79" s="151" t="s">
        <v>40</v>
      </c>
      <c r="G79" s="151">
        <v>44561</v>
      </c>
      <c r="H79" s="137">
        <v>5066667</v>
      </c>
      <c r="I79" s="126"/>
      <c r="J79" s="138">
        <f>1066667+4000000</f>
        <v>5066667</v>
      </c>
      <c r="K79" s="133">
        <f t="shared" si="25"/>
        <v>0</v>
      </c>
      <c r="L79" s="38">
        <f t="shared" si="22"/>
        <v>1</v>
      </c>
      <c r="M79" s="48">
        <f t="shared" si="23"/>
        <v>1</v>
      </c>
      <c r="N79" s="50" t="s">
        <v>389</v>
      </c>
    </row>
    <row r="80" spans="1:14" ht="96">
      <c r="A80" s="51" t="s">
        <v>354</v>
      </c>
      <c r="B80" s="143" t="s">
        <v>385</v>
      </c>
      <c r="C80" s="150" t="s">
        <v>386</v>
      </c>
      <c r="D80" s="134" t="s">
        <v>387</v>
      </c>
      <c r="E80" s="151">
        <v>44523</v>
      </c>
      <c r="F80" s="151" t="s">
        <v>381</v>
      </c>
      <c r="G80" s="151">
        <v>44561</v>
      </c>
      <c r="H80" s="137">
        <v>9797667</v>
      </c>
      <c r="I80" s="126"/>
      <c r="J80" s="138">
        <f>2062667+7735000</f>
        <v>9797667</v>
      </c>
      <c r="K80" s="133">
        <f t="shared" si="25"/>
        <v>0</v>
      </c>
      <c r="L80" s="38">
        <f t="shared" si="22"/>
        <v>1</v>
      </c>
      <c r="M80" s="48">
        <f t="shared" si="23"/>
        <v>1</v>
      </c>
      <c r="N80" s="50" t="s">
        <v>390</v>
      </c>
    </row>
    <row r="81" spans="1:14" ht="60">
      <c r="A81" s="51" t="s">
        <v>355</v>
      </c>
      <c r="B81" s="143" t="s">
        <v>391</v>
      </c>
      <c r="C81" s="150" t="s">
        <v>394</v>
      </c>
      <c r="D81" s="134" t="s">
        <v>395</v>
      </c>
      <c r="E81" s="151">
        <v>44531</v>
      </c>
      <c r="F81" s="151" t="s">
        <v>40</v>
      </c>
      <c r="G81" s="151">
        <v>44561</v>
      </c>
      <c r="H81" s="137">
        <v>10710000</v>
      </c>
      <c r="I81" s="126"/>
      <c r="J81" s="138">
        <f>10710000</f>
        <v>10710000</v>
      </c>
      <c r="K81" s="133">
        <f>H81-J81</f>
        <v>0</v>
      </c>
      <c r="L81" s="38">
        <f t="shared" si="22"/>
        <v>1</v>
      </c>
      <c r="M81" s="48">
        <f t="shared" si="23"/>
        <v>1</v>
      </c>
      <c r="N81" s="50" t="s">
        <v>397</v>
      </c>
    </row>
    <row r="82" spans="1:14" ht="96">
      <c r="A82" s="51" t="s">
        <v>356</v>
      </c>
      <c r="B82" s="143" t="s">
        <v>392</v>
      </c>
      <c r="C82" s="150">
        <v>43202093</v>
      </c>
      <c r="D82" s="134" t="s">
        <v>396</v>
      </c>
      <c r="E82" s="151">
        <v>44531</v>
      </c>
      <c r="F82" s="151" t="s">
        <v>13</v>
      </c>
      <c r="G82" s="151">
        <v>44561</v>
      </c>
      <c r="H82" s="137">
        <v>3500000</v>
      </c>
      <c r="I82" s="126"/>
      <c r="J82" s="138">
        <f>3500000</f>
        <v>3500000</v>
      </c>
      <c r="K82" s="133">
        <f>H82-J82</f>
        <v>0</v>
      </c>
      <c r="L82" s="38">
        <f t="shared" si="22"/>
        <v>1</v>
      </c>
      <c r="M82" s="48">
        <f t="shared" si="23"/>
        <v>1</v>
      </c>
      <c r="N82" s="50" t="s">
        <v>398</v>
      </c>
    </row>
    <row r="83" spans="1:14" ht="48">
      <c r="A83" s="51" t="s">
        <v>357</v>
      </c>
      <c r="B83" s="143" t="s">
        <v>393</v>
      </c>
      <c r="C83" s="150" t="s">
        <v>160</v>
      </c>
      <c r="D83" s="134" t="s">
        <v>161</v>
      </c>
      <c r="E83" s="151">
        <v>44560</v>
      </c>
      <c r="F83" s="151" t="s">
        <v>328</v>
      </c>
      <c r="G83" s="151">
        <v>44544</v>
      </c>
      <c r="H83" s="137">
        <v>19608820</v>
      </c>
      <c r="I83" s="126"/>
      <c r="J83" s="138">
        <f>9804410+9804410</f>
        <v>19608820</v>
      </c>
      <c r="K83" s="133">
        <f>H83-J83</f>
        <v>0</v>
      </c>
      <c r="L83" s="38">
        <f t="shared" si="22"/>
        <v>1</v>
      </c>
      <c r="M83" s="48">
        <f t="shared" si="23"/>
        <v>1</v>
      </c>
      <c r="N83" s="50" t="s">
        <v>399</v>
      </c>
    </row>
    <row r="84" spans="1:14" ht="108">
      <c r="A84" s="51" t="s">
        <v>358</v>
      </c>
      <c r="B84" s="143" t="s">
        <v>400</v>
      </c>
      <c r="C84" s="127" t="s">
        <v>402</v>
      </c>
      <c r="D84" s="134" t="s">
        <v>403</v>
      </c>
      <c r="E84" s="135">
        <v>44532</v>
      </c>
      <c r="F84" s="135" t="s">
        <v>231</v>
      </c>
      <c r="G84" s="151">
        <v>44651</v>
      </c>
      <c r="H84" s="137">
        <v>467601486</v>
      </c>
      <c r="I84" s="137">
        <f>167591154+8757396</f>
        <v>176348550</v>
      </c>
      <c r="J84" s="137">
        <f>151556294+174554095</f>
        <v>326110389</v>
      </c>
      <c r="K84" s="133">
        <f>(H84+I84)-J84</f>
        <v>317839647</v>
      </c>
      <c r="L84" s="38">
        <f>J84/(H84+I84)</f>
        <v>0.50642188177469094</v>
      </c>
      <c r="M84" s="48">
        <f t="shared" si="23"/>
        <v>0.35318415746791804</v>
      </c>
      <c r="N84" s="50" t="s">
        <v>407</v>
      </c>
    </row>
    <row r="85" spans="1:14" ht="60">
      <c r="A85" s="51" t="s">
        <v>359</v>
      </c>
      <c r="B85" s="143" t="s">
        <v>401</v>
      </c>
      <c r="C85" s="127" t="s">
        <v>404</v>
      </c>
      <c r="D85" s="134" t="s">
        <v>405</v>
      </c>
      <c r="E85" s="135" t="s">
        <v>406</v>
      </c>
      <c r="F85" s="135" t="s">
        <v>231</v>
      </c>
      <c r="G85" s="151">
        <v>44666</v>
      </c>
      <c r="H85" s="137">
        <v>91582400</v>
      </c>
      <c r="I85" s="137">
        <v>11447800</v>
      </c>
      <c r="J85" s="137">
        <f>22895000+22895000</f>
        <v>45790000</v>
      </c>
      <c r="K85" s="133">
        <f>(H85+I85)-J85</f>
        <v>57240200</v>
      </c>
      <c r="L85" s="38">
        <f>J85/(H85+I85)</f>
        <v>0.44443279737397384</v>
      </c>
      <c r="M85" s="48">
        <f t="shared" si="23"/>
        <v>0.22221057530436264</v>
      </c>
      <c r="N85" s="50" t="s">
        <v>408</v>
      </c>
    </row>
    <row r="86" spans="1:14" ht="84">
      <c r="A86" s="51" t="s">
        <v>360</v>
      </c>
      <c r="B86" s="149" t="s">
        <v>409</v>
      </c>
      <c r="C86" s="150" t="s">
        <v>411</v>
      </c>
      <c r="D86" s="134" t="s">
        <v>412</v>
      </c>
      <c r="E86" s="135">
        <v>44551</v>
      </c>
      <c r="F86" s="151" t="s">
        <v>318</v>
      </c>
      <c r="G86" s="151">
        <v>44854</v>
      </c>
      <c r="H86" s="152">
        <v>1221051835</v>
      </c>
      <c r="I86" s="126"/>
      <c r="J86" s="153">
        <v>0</v>
      </c>
      <c r="K86" s="133">
        <v>0</v>
      </c>
      <c r="L86" s="38">
        <v>0</v>
      </c>
      <c r="M86" s="48">
        <v>0</v>
      </c>
      <c r="N86" s="50" t="s">
        <v>415</v>
      </c>
    </row>
    <row r="87" spans="1:14" ht="72">
      <c r="A87" s="51" t="s">
        <v>361</v>
      </c>
      <c r="B87" s="149" t="s">
        <v>410</v>
      </c>
      <c r="C87" s="150" t="s">
        <v>413</v>
      </c>
      <c r="D87" s="134" t="s">
        <v>414</v>
      </c>
      <c r="E87" s="135">
        <v>44551</v>
      </c>
      <c r="F87" s="151" t="s">
        <v>318</v>
      </c>
      <c r="G87" s="151">
        <v>44839</v>
      </c>
      <c r="H87" s="152">
        <v>17535565308</v>
      </c>
      <c r="I87" s="126"/>
      <c r="J87" s="153">
        <v>0</v>
      </c>
      <c r="K87" s="133">
        <v>0</v>
      </c>
      <c r="L87" s="38">
        <v>0</v>
      </c>
      <c r="M87" s="48">
        <v>0</v>
      </c>
      <c r="N87" s="50" t="s">
        <v>416</v>
      </c>
    </row>
    <row r="88" spans="1:14" ht="60">
      <c r="A88" s="51" t="s">
        <v>362</v>
      </c>
      <c r="B88" s="149" t="s">
        <v>417</v>
      </c>
      <c r="C88" s="150" t="s">
        <v>419</v>
      </c>
      <c r="D88" s="140" t="s">
        <v>420</v>
      </c>
      <c r="E88" s="151">
        <v>44554</v>
      </c>
      <c r="F88" s="151" t="s">
        <v>423</v>
      </c>
      <c r="G88" s="151">
        <v>44967</v>
      </c>
      <c r="H88" s="152">
        <v>11447451092</v>
      </c>
      <c r="I88" s="126"/>
      <c r="J88" s="153">
        <v>0</v>
      </c>
      <c r="K88" s="133">
        <v>0</v>
      </c>
      <c r="L88" s="38">
        <v>0</v>
      </c>
      <c r="M88" s="48">
        <v>0</v>
      </c>
      <c r="N88" s="50" t="s">
        <v>425</v>
      </c>
    </row>
    <row r="89" spans="1:14" ht="60">
      <c r="A89" s="51" t="s">
        <v>363</v>
      </c>
      <c r="B89" s="149" t="s">
        <v>418</v>
      </c>
      <c r="C89" s="150" t="s">
        <v>421</v>
      </c>
      <c r="D89" s="140" t="s">
        <v>422</v>
      </c>
      <c r="E89" s="151">
        <v>44557</v>
      </c>
      <c r="F89" s="151" t="s">
        <v>423</v>
      </c>
      <c r="G89" s="151">
        <v>44983</v>
      </c>
      <c r="H89" s="152" t="s">
        <v>424</v>
      </c>
      <c r="I89" s="126"/>
      <c r="J89" s="153">
        <v>0</v>
      </c>
      <c r="K89" s="133">
        <v>0</v>
      </c>
      <c r="L89" s="38">
        <v>0</v>
      </c>
      <c r="M89" s="48">
        <v>0</v>
      </c>
      <c r="N89" s="50" t="s">
        <v>426</v>
      </c>
    </row>
    <row r="90" spans="1:14" ht="108">
      <c r="A90" s="51" t="s">
        <v>364</v>
      </c>
      <c r="B90" s="149" t="s">
        <v>427</v>
      </c>
      <c r="C90" s="155" t="s">
        <v>428</v>
      </c>
      <c r="D90" s="140" t="s">
        <v>429</v>
      </c>
      <c r="E90" s="156">
        <v>44560</v>
      </c>
      <c r="F90" s="157" t="s">
        <v>430</v>
      </c>
      <c r="G90" s="151">
        <v>44710</v>
      </c>
      <c r="H90" s="152">
        <v>734821192</v>
      </c>
      <c r="I90" s="126"/>
      <c r="J90" s="153">
        <v>0</v>
      </c>
      <c r="K90" s="133">
        <v>0</v>
      </c>
      <c r="L90" s="38">
        <v>0</v>
      </c>
      <c r="M90" s="48">
        <v>0</v>
      </c>
      <c r="N90" s="50" t="s">
        <v>431</v>
      </c>
    </row>
    <row r="91" spans="1:14" ht="96">
      <c r="A91" s="51" t="s">
        <v>365</v>
      </c>
      <c r="B91" s="149" t="s">
        <v>433</v>
      </c>
      <c r="C91" s="150" t="s">
        <v>120</v>
      </c>
      <c r="D91" s="140" t="s">
        <v>434</v>
      </c>
      <c r="E91" s="151">
        <v>44559</v>
      </c>
      <c r="F91" s="151" t="s">
        <v>435</v>
      </c>
      <c r="G91" s="151">
        <v>44679</v>
      </c>
      <c r="H91" s="152">
        <v>3796210697</v>
      </c>
      <c r="I91" s="126"/>
      <c r="J91" s="153">
        <v>0</v>
      </c>
      <c r="K91" s="133">
        <v>0</v>
      </c>
      <c r="L91" s="38">
        <v>0</v>
      </c>
      <c r="M91" s="48">
        <v>0</v>
      </c>
      <c r="N91" s="50" t="s">
        <v>432</v>
      </c>
    </row>
    <row r="92" spans="1:14" ht="60">
      <c r="A92" s="51" t="s">
        <v>366</v>
      </c>
      <c r="B92" s="149" t="s">
        <v>179</v>
      </c>
      <c r="C92" s="150" t="s">
        <v>120</v>
      </c>
      <c r="D92" s="140" t="s">
        <v>436</v>
      </c>
      <c r="E92" s="151">
        <v>44559</v>
      </c>
      <c r="F92" s="151" t="s">
        <v>435</v>
      </c>
      <c r="G92" s="151">
        <v>44923</v>
      </c>
      <c r="H92" s="152">
        <v>1504796676</v>
      </c>
      <c r="I92" s="126"/>
      <c r="J92" s="153">
        <v>0</v>
      </c>
      <c r="K92" s="133">
        <v>0</v>
      </c>
      <c r="L92" s="38">
        <v>0</v>
      </c>
      <c r="M92" s="48">
        <v>0</v>
      </c>
      <c r="N92" s="50" t="s">
        <v>437</v>
      </c>
    </row>
    <row r="93" spans="1:14" ht="36">
      <c r="A93" s="51" t="s">
        <v>367</v>
      </c>
      <c r="B93" s="149" t="s">
        <v>439</v>
      </c>
      <c r="C93" s="150" t="s">
        <v>440</v>
      </c>
      <c r="D93" s="140" t="s">
        <v>441</v>
      </c>
      <c r="E93" s="151">
        <v>44559</v>
      </c>
      <c r="F93" s="151" t="s">
        <v>435</v>
      </c>
      <c r="G93" s="151">
        <v>44709</v>
      </c>
      <c r="H93" s="152">
        <v>4999377200</v>
      </c>
      <c r="I93" s="126"/>
      <c r="J93" s="153">
        <v>749906580</v>
      </c>
      <c r="K93" s="133">
        <f>H93-J93</f>
        <v>4249470620</v>
      </c>
      <c r="L93" s="38">
        <f>J93/H93</f>
        <v>0.15</v>
      </c>
      <c r="M93" s="48">
        <f>J93*L93/H93</f>
        <v>2.2499999999999999E-2</v>
      </c>
      <c r="N93" s="50" t="s">
        <v>438</v>
      </c>
    </row>
  </sheetData>
  <mergeCells count="1">
    <mergeCell ref="B54:N54"/>
  </mergeCells>
  <phoneticPr fontId="15" type="noConversion"/>
  <hyperlinks>
    <hyperlink ref="N2" r:id="rId1" xr:uid="{00000000-0004-0000-0000-000000000000}"/>
    <hyperlink ref="N3" r:id="rId2" xr:uid="{00000000-0004-0000-0000-000001000000}"/>
    <hyperlink ref="N4" r:id="rId3" xr:uid="{00000000-0004-0000-0000-000002000000}"/>
    <hyperlink ref="N5" r:id="rId4" xr:uid="{00000000-0004-0000-0000-000003000000}"/>
    <hyperlink ref="N6" r:id="rId5" xr:uid="{00000000-0004-0000-0000-000004000000}"/>
    <hyperlink ref="N7" r:id="rId6" xr:uid="{00000000-0004-0000-0000-000005000000}"/>
    <hyperlink ref="N8" r:id="rId7" xr:uid="{00000000-0004-0000-0000-000006000000}"/>
    <hyperlink ref="N20" r:id="rId8" xr:uid="{00000000-0004-0000-0000-000007000000}"/>
    <hyperlink ref="N18" r:id="rId9" xr:uid="{00000000-0004-0000-0000-000008000000}"/>
    <hyperlink ref="N15" r:id="rId10" xr:uid="{00000000-0004-0000-0000-000009000000}"/>
    <hyperlink ref="N39" r:id="rId11" xr:uid="{C9237AAC-7B3A-48E4-96E5-671311F175AF}"/>
    <hyperlink ref="N41" r:id="rId12" xr:uid="{34B78045-7098-4544-AA04-60156F2DE1F3}"/>
  </hyperlinks>
  <pageMargins left="0.7" right="0.7" top="0.75" bottom="0.75" header="0.3" footer="0.3"/>
  <pageSetup orientation="portrait"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CUARTO TRIMESTRE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Estefanía Sánchez Zapata</dc:creator>
  <cp:lastModifiedBy>Estefanía Sánchez Zapata</cp:lastModifiedBy>
  <dcterms:created xsi:type="dcterms:W3CDTF">2020-10-07T18:32:48Z</dcterms:created>
  <dcterms:modified xsi:type="dcterms:W3CDTF">2022-04-21T16:44:47Z</dcterms:modified>
</cp:coreProperties>
</file>